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  <sheet state="visible" name="Inventory_data" sheetId="2" r:id="rId5"/>
    <sheet state="visible" name="scenario 1" sheetId="3" r:id="rId6"/>
    <sheet state="visible" name="scenario 2" sheetId="4" r:id="rId7"/>
    <sheet state="visible" name="scenario 3" sheetId="5" r:id="rId8"/>
    <sheet state="visible" name="Avg of price_unit" sheetId="6" r:id="rId9"/>
    <sheet state="visible" name="sum of price_unit" sheetId="7" r:id="rId10"/>
  </sheets>
  <definedNames>
    <definedName name="inventory">Inventory_data!$A$1:$G$86</definedName>
  </definedNames>
  <calcPr/>
  <pivotCaches>
    <pivotCache cacheId="0" r:id="rId11"/>
  </pivotCaches>
</workbook>
</file>

<file path=xl/sharedStrings.xml><?xml version="1.0" encoding="utf-8"?>
<sst xmlns="http://schemas.openxmlformats.org/spreadsheetml/2006/main" count="490" uniqueCount="129">
  <si>
    <t>transaction_id</t>
  </si>
  <si>
    <t>time</t>
  </si>
  <si>
    <t>product_id</t>
  </si>
  <si>
    <t>produce_type</t>
  </si>
  <si>
    <t>unique_transaction_id</t>
  </si>
  <si>
    <t>count_of_each_transaction_id</t>
  </si>
  <si>
    <t>product_type</t>
  </si>
  <si>
    <t>count_of _each</t>
  </si>
  <si>
    <t>reorder in desc order</t>
  </si>
  <si>
    <t>price_unit</t>
  </si>
  <si>
    <t>dry_goods</t>
  </si>
  <si>
    <t>snacks</t>
  </si>
  <si>
    <t>dairy</t>
  </si>
  <si>
    <t>frozen</t>
  </si>
  <si>
    <t>canned_jarred_goods</t>
  </si>
  <si>
    <t>other</t>
  </si>
  <si>
    <t>beverages</t>
  </si>
  <si>
    <t>meat</t>
  </si>
  <si>
    <t>bread</t>
  </si>
  <si>
    <t>product_name</t>
  </si>
  <si>
    <t>unit</t>
  </si>
  <si>
    <t>wholesale</t>
  </si>
  <si>
    <t>current_inventory</t>
  </si>
  <si>
    <t>strawberry</t>
  </si>
  <si>
    <t>produce</t>
  </si>
  <si>
    <t>lb</t>
  </si>
  <si>
    <t>apple_fuji</t>
  </si>
  <si>
    <t>orange</t>
  </si>
  <si>
    <t>clementines</t>
  </si>
  <si>
    <t>blood_orange</t>
  </si>
  <si>
    <t>blood_lime</t>
  </si>
  <si>
    <t>tayberry</t>
  </si>
  <si>
    <t>pluot</t>
  </si>
  <si>
    <t>tangelo</t>
  </si>
  <si>
    <t>pomello</t>
  </si>
  <si>
    <t>pineberry</t>
  </si>
  <si>
    <t>vegan_egg_substitute</t>
  </si>
  <si>
    <t>oz</t>
  </si>
  <si>
    <t>asparagus_water</t>
  </si>
  <si>
    <t>fl_oz</t>
  </si>
  <si>
    <t>falafel_chips</t>
  </si>
  <si>
    <t>sweet_potato_hockey_pucks</t>
  </si>
  <si>
    <t>arugula_crisps</t>
  </si>
  <si>
    <t>bottled_organic_air</t>
  </si>
  <si>
    <t>cubic_ft</t>
  </si>
  <si>
    <t>chia_seeds</t>
  </si>
  <si>
    <t>all_natural_cheese_poofs</t>
  </si>
  <si>
    <t>sriracha_popcorn</t>
  </si>
  <si>
    <t>buttermilk_pancake_crunchies</t>
  </si>
  <si>
    <t>smoked_trout</t>
  </si>
  <si>
    <t>pine_nuts</t>
  </si>
  <si>
    <t>dried_apricots</t>
  </si>
  <si>
    <t>smoked_salmon</t>
  </si>
  <si>
    <t>green_juice</t>
  </si>
  <si>
    <t>celery_foam</t>
  </si>
  <si>
    <t>protein_powder</t>
  </si>
  <si>
    <t>asiago_cheese</t>
  </si>
  <si>
    <t>camembert_cheese</t>
  </si>
  <si>
    <t>almond_nut_thins</t>
  </si>
  <si>
    <t>arugula</t>
  </si>
  <si>
    <t>white_bean_and_basil_hummus</t>
  </si>
  <si>
    <t>edamame_hummus</t>
  </si>
  <si>
    <t>eggplant_caponata</t>
  </si>
  <si>
    <t>olive_tapanade</t>
  </si>
  <si>
    <t>chocolate_ganache_torte</t>
  </si>
  <si>
    <t>pork_gyoza</t>
  </si>
  <si>
    <t>table_wafers</t>
  </si>
  <si>
    <t>vegetable_gyoza</t>
  </si>
  <si>
    <t>frozen_tamales</t>
  </si>
  <si>
    <t>porchini_mushrooms</t>
  </si>
  <si>
    <t>garlic_naan</t>
  </si>
  <si>
    <t>frozen_clams</t>
  </si>
  <si>
    <t>butter_chicken</t>
  </si>
  <si>
    <t>frozen_salmon</t>
  </si>
  <si>
    <t>paneer</t>
  </si>
  <si>
    <t>organic_mung_beans</t>
  </si>
  <si>
    <t>silken_tofu</t>
  </si>
  <si>
    <t>white_cheddar</t>
  </si>
  <si>
    <t>english_cheddar</t>
  </si>
  <si>
    <t>cranberry_infused_goat_cheese</t>
  </si>
  <si>
    <t>black_pepper_goat_cheese</t>
  </si>
  <si>
    <t>aged_gouda</t>
  </si>
  <si>
    <t>parmigiano_reggiano</t>
  </si>
  <si>
    <t>organic_glazed_walnuts</t>
  </si>
  <si>
    <t>kumatos</t>
  </si>
  <si>
    <t>pumpkin_spice_pumpkin_seeds</t>
  </si>
  <si>
    <t>medjool_dates</t>
  </si>
  <si>
    <t>satsuma_oranges</t>
  </si>
  <si>
    <t>grapefruits</t>
  </si>
  <si>
    <t>goji_berries</t>
  </si>
  <si>
    <t>organic_garlic</t>
  </si>
  <si>
    <t>white_onions</t>
  </si>
  <si>
    <t>purple_onions</t>
  </si>
  <si>
    <t>yellow_onions</t>
  </si>
  <si>
    <t>barberries</t>
  </si>
  <si>
    <t>salmonberries</t>
  </si>
  <si>
    <t>wholewheat_couscous</t>
  </si>
  <si>
    <t>orzo</t>
  </si>
  <si>
    <t>autumn_pilaf</t>
  </si>
  <si>
    <t>wild_rice</t>
  </si>
  <si>
    <t>cheddar_corn_sticks</t>
  </si>
  <si>
    <t>poppy_onion_sesame_sticks</t>
  </si>
  <si>
    <t>rice_crackers</t>
  </si>
  <si>
    <t>cheddar_whales</t>
  </si>
  <si>
    <t>sugar_snap_peas</t>
  </si>
  <si>
    <t>garam_masala</t>
  </si>
  <si>
    <t>darjeeling_black_tea</t>
  </si>
  <si>
    <t>rooibos_tea</t>
  </si>
  <si>
    <t>irish_breakfast_black_tea</t>
  </si>
  <si>
    <t>mango_black_tea</t>
  </si>
  <si>
    <t>soy_ginger_trail_mix</t>
  </si>
  <si>
    <t>buckwheat_flour</t>
  </si>
  <si>
    <t>cranberry_milk</t>
  </si>
  <si>
    <t>1.Finding product_type for each  product_id using VLOOKUP</t>
  </si>
  <si>
    <t>2.Finding the product type with most no. of transactions</t>
  </si>
  <si>
    <t>1.Finding unit price using vlookup</t>
  </si>
  <si>
    <t xml:space="preserve">2.Finding Average of unit_price top 3 product_name using pivot table </t>
  </si>
  <si>
    <t>Product_id</t>
  </si>
  <si>
    <t>Price_unit</t>
  </si>
  <si>
    <t>Product_name</t>
  </si>
  <si>
    <t>Avg_unit_price</t>
  </si>
  <si>
    <t>Categorizing the data based on the transaction in 2 types</t>
  </si>
  <si>
    <t>unitprice of product less than 1 dollar</t>
  </si>
  <si>
    <t>Total count</t>
  </si>
  <si>
    <t>unitprice of product more than 1 dollar</t>
  </si>
  <si>
    <t>Total Count</t>
  </si>
  <si>
    <t>AVERAGE of price_unit</t>
  </si>
  <si>
    <t>Grand Total</t>
  </si>
  <si>
    <t>SUM of price_unit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</si>
</sst>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38761D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 shrinkToFit="0" wrapText="0"/>
    </xf>
    <xf borderId="0" fillId="0" fontId="1" numFmtId="0" xfId="0" applyFont="1"/>
    <xf borderId="0" fillId="0" fontId="2" numFmtId="22" xfId="0" applyFont="1" applyNumberFormat="1"/>
    <xf borderId="0" fillId="0" fontId="1" numFmtId="2" xfId="0" applyFont="1" applyNumberFormat="1"/>
    <xf borderId="0" fillId="4" fontId="1" numFmtId="0" xfId="0" applyFill="1" applyFont="1"/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4" fontId="1" numFmtId="0" xfId="0" applyAlignment="1" applyFont="1">
      <alignment readingOrder="0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6" fontId="1" numFmtId="0" xfId="0" applyAlignment="1" applyFill="1" applyFont="1">
      <alignment readingOrder="0"/>
    </xf>
    <xf borderId="0" fillId="6" fontId="3" numFmtId="0" xfId="0" applyFont="1"/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3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price_unit for transaction ID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'sum of price_unit'!$B$1</c:f>
            </c:strRef>
          </c:tx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8CB9E2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'sum of price_unit'!$A$2:$A$11</c:f>
            </c:strRef>
          </c:cat>
          <c:val>
            <c:numRef>
              <c:f>'sum of price_unit'!$B$2:$B$11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00FF00"/>
    </a:solidFill>
  </c:spPr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485775</xdr:colOff>
      <xdr:row>0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86" sheet="Inventory_data"/>
  </cacheSource>
  <cacheFields>
    <cacheField name="product_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</sharedItems>
    </cacheField>
    <cacheField name="product_name" numFmtId="0">
      <sharedItems>
        <s v="strawberry"/>
        <s v="apple_fuji"/>
        <s v="orange"/>
        <s v="clementines"/>
        <s v="blood_orange"/>
        <s v="blood_lime"/>
        <s v="tayberry"/>
        <s v="pluot"/>
        <s v="tangelo"/>
        <s v="pomello"/>
        <s v="pineberry"/>
        <s v="vegan_egg_substitute"/>
        <s v="asparagus_water"/>
        <s v="falafel_chips"/>
        <s v="sweet_potato_hockey_pucks"/>
        <s v="arugula_crisps"/>
        <s v="bottled_organic_air"/>
        <s v="chia_seeds"/>
        <s v="all_natural_cheese_poofs"/>
        <s v="sriracha_popcorn"/>
        <s v="buttermilk_pancake_crunchies"/>
        <s v="smoked_trout"/>
        <s v="pine_nuts"/>
        <s v="dried_apricots"/>
        <s v="smoked_salmon"/>
        <s v="green_juice"/>
        <s v="celery_foam"/>
        <s v="protein_powder"/>
        <s v="asiago_cheese"/>
        <s v="camembert_cheese"/>
        <s v="almond_nut_thins"/>
        <s v="arugula"/>
        <s v="white_bean_and_basil_hummus"/>
        <s v="edamame_hummus"/>
        <s v="eggplant_caponata"/>
        <s v="olive_tapanade"/>
        <s v="chocolate_ganache_torte"/>
        <s v="pork_gyoza"/>
        <s v="table_wafers"/>
        <s v="vegetable_gyoza"/>
        <s v="frozen_tamales"/>
        <s v="porchini_mushrooms"/>
        <s v="garlic_naan"/>
        <s v="frozen_clams"/>
        <s v="butter_chicken"/>
        <s v="frozen_salmon"/>
        <s v="paneer"/>
        <s v="organic_mung_beans"/>
        <s v="silken_tofu"/>
        <s v="white_cheddar"/>
        <s v="english_cheddar"/>
        <s v="cranberry_infused_goat_cheese"/>
        <s v="black_pepper_goat_cheese"/>
        <s v="aged_gouda"/>
        <s v="parmigiano_reggiano"/>
        <s v="organic_glazed_walnuts"/>
        <s v="kumatos"/>
        <s v="pumpkin_spice_pumpkin_seeds"/>
        <s v="medjool_dates"/>
        <s v="satsuma_oranges"/>
        <s v="grapefruits"/>
        <s v="goji_berries"/>
        <s v="organic_garlic"/>
        <s v="white_onions"/>
        <s v="purple_onions"/>
        <s v="yellow_onions"/>
        <s v="barberries"/>
        <s v="salmonberries"/>
        <s v="wholewheat_couscous"/>
        <s v="orzo"/>
        <s v="autumn_pilaf"/>
        <s v="wild_rice"/>
        <s v="cheddar_corn_sticks"/>
        <s v="poppy_onion_sesame_sticks"/>
        <s v="rice_crackers"/>
        <s v="cheddar_whales"/>
        <s v="sugar_snap_peas"/>
        <s v="garam_masala"/>
        <s v="darjeeling_black_tea"/>
        <s v="rooibos_tea"/>
        <s v="irish_breakfast_black_tea"/>
        <s v="mango_black_tea"/>
        <s v="soy_ginger_trail_mix"/>
        <s v="buckwheat_flour"/>
        <s v="cranberry_milk"/>
      </sharedItems>
    </cacheField>
    <cacheField name="product_type" numFmtId="0">
      <sharedItems>
        <s v="produce"/>
        <s v="dairy"/>
        <s v="beverages"/>
        <s v="snacks"/>
        <s v="other"/>
        <s v="dry_goods"/>
        <s v="meat"/>
        <s v="canned_jarred_goods"/>
        <s v="frozen"/>
        <s v="bread"/>
      </sharedItems>
    </cacheField>
    <cacheField name="unit" numFmtId="0">
      <sharedItems>
        <s v="lb"/>
        <s v="oz"/>
        <s v="fl_oz"/>
        <s v="cubic_ft"/>
      </sharedItems>
    </cacheField>
    <cacheField name="price_unit" numFmtId="0">
      <sharedItems containsSemiMixedTypes="0" containsString="0" containsNumber="1">
        <n v="3.28"/>
        <n v="1.44"/>
        <n v="1.02"/>
        <n v="1.19"/>
        <n v="3.86"/>
        <n v="1.69"/>
        <n v="2.54"/>
        <n v="3.99"/>
        <n v="0.96"/>
        <n v="4.89"/>
        <n v="1.15"/>
        <n v="0.38"/>
        <n v="0.53"/>
        <n v="0.43"/>
        <n v="2.43"/>
        <n v="2.67"/>
        <n v="0.67"/>
        <n v="0.41"/>
        <n v="1.11"/>
        <n v="2.59"/>
        <n v="19.59"/>
        <n v="0.91"/>
        <n v="0.56"/>
        <n v="39.99"/>
        <n v="0.25"/>
        <n v="6.0"/>
        <n v="0.69"/>
        <n v="0.63"/>
        <n v="0.61"/>
        <n v="2.99"/>
        <n v="0.97"/>
        <n v="0.95"/>
        <n v="1.39"/>
        <n v="1.12"/>
        <n v="3.52"/>
        <n v="0.59"/>
        <n v="1.17"/>
        <n v="1.09"/>
        <n v="5.99"/>
        <n v="0.99"/>
        <n v="4.99"/>
        <n v="1.29"/>
        <n v="16.99"/>
        <n v="0.89"/>
        <n v="0.77"/>
        <n v="1.79"/>
        <n v="1.23"/>
        <n v="1.1"/>
        <n v="0.86"/>
        <n v="3.6"/>
        <n v="4.29"/>
        <n v="2.06"/>
        <n v="0.55"/>
        <n v="3.57"/>
        <n v="1.22"/>
        <n v="1.32"/>
        <n v="1.74"/>
        <n v="0.27"/>
        <n v="0.19"/>
        <n v="0.24"/>
        <n v="0.75"/>
        <n v="0.57"/>
        <n v="3.3"/>
        <n v="3.49"/>
        <n v="3.08"/>
        <n v="0.39"/>
        <n v="0.08"/>
      </sharedItems>
    </cacheField>
    <cacheField name="wholesale" numFmtId="0">
      <sharedItems containsSemiMixedTypes="0" containsString="0" containsNumber="1">
        <n v="1.77"/>
        <n v="0.43"/>
        <n v="0.37"/>
        <n v="0.44"/>
        <n v="1.66"/>
        <n v="0.91"/>
        <n v="0.89"/>
        <n v="1.44"/>
        <n v="0.56"/>
        <n v="0.57"/>
        <n v="2.0"/>
        <n v="0.58"/>
        <n v="0.21"/>
        <n v="0.29"/>
        <n v="0.17"/>
        <n v="1.19"/>
        <n v="0.96"/>
        <n v="0.36"/>
        <n v="0.16"/>
        <n v="1.24"/>
        <n v="9.01"/>
        <n v="0.3"/>
        <n v="0.26"/>
        <n v="20.0"/>
        <n v="0.13"/>
        <n v="4.29"/>
        <n v="0.33"/>
        <n v="0.25"/>
        <n v="0.54"/>
        <n v="1.05"/>
        <n v="0.55"/>
        <n v="0.35"/>
        <n v="0.74"/>
        <n v="1.09"/>
        <n v="0.65"/>
        <n v="0.6"/>
        <n v="3.41"/>
        <n v="2.54"/>
        <n v="9.17"/>
        <n v="0.66"/>
        <n v="0.31"/>
        <n v="0.53"/>
        <n v="0.72"/>
        <n v="0.63"/>
        <n v="0.69"/>
        <n v="0.39"/>
        <n v="0.4"/>
        <n v="0.45"/>
        <n v="1.37"/>
        <n v="0.87"/>
        <n v="0.22"/>
        <n v="1.32"/>
        <n v="0.09"/>
        <n v="0.1"/>
        <n v="0.11"/>
        <n v="0.32"/>
        <n v="0.24"/>
        <n v="1.52"/>
        <n v="0.49"/>
        <n v="1.39"/>
        <n v="1.85"/>
        <n v="1.7"/>
        <n v="1.29"/>
        <n v="1.22"/>
        <n v="0.04"/>
      </sharedItems>
    </cacheField>
    <cacheField name="current_inventory" numFmtId="0">
      <sharedItems containsSemiMixedTypes="0" containsString="0" containsNumber="1" containsInteger="1">
        <n v="13.0"/>
        <n v="2.0"/>
        <n v="44.0"/>
        <n v="19.0"/>
        <n v="10.0"/>
        <n v="25.0"/>
        <n v="26.0"/>
        <n v="32.0"/>
        <n v="33.0"/>
        <n v="42.0"/>
        <n v="41.0"/>
        <n v="35.0"/>
        <n v="38.0"/>
        <n v="30.0"/>
        <n v="21.0"/>
        <n v="3.0"/>
        <n v="34.0"/>
        <n v="5.0"/>
        <n v="15.0"/>
        <n v="7.0"/>
        <n v="20.0"/>
        <n v="36.0"/>
        <n v="40.0"/>
        <n v="31.0"/>
        <n v="28.0"/>
        <n v="23.0"/>
        <n v="39.0"/>
        <n v="4.0"/>
        <n v="43.0"/>
        <n v="17.0"/>
        <n v="16.0"/>
        <n v="24.0"/>
        <n v="11.0"/>
        <n v="12.0"/>
        <n v="14.0"/>
        <n v="0.0"/>
        <n v="22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vg of price_unit" cacheId="0" dataCaption="" compact="0" compactData="0">
  <location ref="A1:B87" firstHeaderRow="0" firstDataRow="1" firstDataCol="0"/>
  <pivotFields>
    <pivotField name="product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product_name" axis="axisRow" compact="0" outline="0" multipleItemSelectionAllowed="1" showAll="0" sortType="ascending">
      <items>
        <item x="53"/>
        <item x="18"/>
        <item x="30"/>
        <item x="1"/>
        <item x="31"/>
        <item x="15"/>
        <item x="28"/>
        <item x="12"/>
        <item x="70"/>
        <item x="66"/>
        <item x="52"/>
        <item x="5"/>
        <item x="4"/>
        <item x="16"/>
        <item x="83"/>
        <item x="44"/>
        <item x="20"/>
        <item x="29"/>
        <item x="26"/>
        <item x="72"/>
        <item x="75"/>
        <item x="17"/>
        <item x="36"/>
        <item x="3"/>
        <item x="51"/>
        <item x="84"/>
        <item x="78"/>
        <item x="23"/>
        <item x="33"/>
        <item x="34"/>
        <item x="50"/>
        <item x="13"/>
        <item x="43"/>
        <item x="45"/>
        <item x="40"/>
        <item x="77"/>
        <item x="42"/>
        <item x="61"/>
        <item x="60"/>
        <item x="25"/>
        <item x="80"/>
        <item x="56"/>
        <item x="81"/>
        <item x="58"/>
        <item x="35"/>
        <item x="2"/>
        <item x="62"/>
        <item x="55"/>
        <item x="47"/>
        <item x="69"/>
        <item x="46"/>
        <item x="54"/>
        <item x="22"/>
        <item x="10"/>
        <item x="7"/>
        <item x="9"/>
        <item x="73"/>
        <item x="41"/>
        <item x="37"/>
        <item x="27"/>
        <item x="57"/>
        <item x="64"/>
        <item x="74"/>
        <item x="79"/>
        <item x="67"/>
        <item x="59"/>
        <item x="48"/>
        <item x="24"/>
        <item x="21"/>
        <item x="82"/>
        <item x="19"/>
        <item x="0"/>
        <item x="76"/>
        <item x="14"/>
        <item x="38"/>
        <item x="8"/>
        <item x="6"/>
        <item x="11"/>
        <item x="39"/>
        <item x="32"/>
        <item x="49"/>
        <item x="63"/>
        <item x="68"/>
        <item x="71"/>
        <item x="65"/>
        <item t="default"/>
      </items>
    </pivotField>
    <pivotField name="product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unit" compact="0" outline="0" multipleItemSelectionAllowed="1" showAll="0">
      <items>
        <item x="0"/>
        <item x="1"/>
        <item x="2"/>
        <item x="3"/>
        <item t="default"/>
      </items>
    </pivotField>
    <pivotField name="price_un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wholesa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current_invent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</pivotFields>
  <rowFields>
    <field x="1"/>
  </rowFields>
  <dataFields>
    <dataField name="AVERAGE of price_unit" fld="4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9.29"/>
    <col customWidth="1" min="3" max="3" width="31.86"/>
    <col customWidth="1" min="4" max="4" width="22.14"/>
    <col customWidth="1" min="5" max="5" width="21.57"/>
    <col customWidth="1" min="6" max="6" width="29.29"/>
    <col customWidth="1" min="7" max="7" width="15.29"/>
    <col customWidth="1" min="8" max="8" width="20.71"/>
    <col customWidth="1" min="9" max="9" width="32.0"/>
    <col customWidth="1" min="10" max="10" width="19.43"/>
    <col customWidth="1" min="11" max="11" width="16.71"/>
    <col customWidth="1" min="12" max="12" width="8.71"/>
    <col customWidth="1" min="13" max="13" width="22.71"/>
    <col customWidth="1" min="14" max="14" width="16.43"/>
    <col customWidth="1" min="15" max="22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K1" s="2" t="s">
        <v>9</v>
      </c>
    </row>
    <row r="2" ht="14.25" customHeight="1">
      <c r="A2" s="4">
        <v>1.0</v>
      </c>
      <c r="B2" s="5">
        <v>42377.74047453704</v>
      </c>
      <c r="C2" s="4">
        <v>3.0</v>
      </c>
      <c r="D2" s="4" t="str">
        <f>VLOOKUP(C2,inventory,3,true)</f>
        <v>produce</v>
      </c>
      <c r="E2" s="4">
        <f>IFERROR(__xludf.DUMMYFUNCTION("UNIQUE(A2:A595)"),1.0)</f>
        <v>1</v>
      </c>
      <c r="F2" s="4">
        <f t="shared" ref="F2:F235" si="1">COUNTIF(A2:A595,E2)</f>
        <v>2</v>
      </c>
      <c r="G2" s="4" t="str">
        <f>IFERROR(__xludf.DUMMYFUNCTION("UNIQUE(D2:D595)"),"produce")</f>
        <v>produce</v>
      </c>
      <c r="H2" s="4">
        <f t="shared" ref="H2:H10" si="2">COUNTIF(D2:D595,G2)</f>
        <v>168</v>
      </c>
      <c r="I2" s="4" t="str">
        <f t="array" ref="I2:J11">SORT(G2:H11,2,false)</f>
        <v>produce</v>
      </c>
      <c r="J2" s="4">
        <v>168.0</v>
      </c>
      <c r="K2" s="4">
        <f>VLOOKUP(C2, Inventory_data!$A$1:$G$86, 5, True)</f>
        <v>1.02</v>
      </c>
      <c r="N2" s="6"/>
    </row>
    <row r="3" ht="14.25" customHeight="1">
      <c r="A3" s="4">
        <v>1.0</v>
      </c>
      <c r="B3" s="5">
        <v>42377.74047453704</v>
      </c>
      <c r="C3" s="4">
        <v>61.0</v>
      </c>
      <c r="D3" s="4" t="str">
        <f>VLOOKUP(C3,inventory,3,true)</f>
        <v>produce</v>
      </c>
      <c r="E3" s="4">
        <f>IFERROR(__xludf.DUMMYFUNCTION("""COMPUTED_VALUE"""),2.0)</f>
        <v>2</v>
      </c>
      <c r="F3" s="4">
        <f t="shared" si="1"/>
        <v>1</v>
      </c>
      <c r="G3" s="4" t="str">
        <f>IFERROR(__xludf.DUMMYFUNCTION("""COMPUTED_VALUE"""),"dry_goods")</f>
        <v>dry_goods</v>
      </c>
      <c r="H3" s="4">
        <f t="shared" si="2"/>
        <v>130</v>
      </c>
      <c r="I3" s="4" t="s">
        <v>10</v>
      </c>
      <c r="J3" s="4">
        <v>130.0</v>
      </c>
      <c r="K3" s="4">
        <f>VLOOKUP(C3, Inventory_data!$A$1:$G$86, 5, True)</f>
        <v>0.55</v>
      </c>
      <c r="N3" s="6"/>
    </row>
    <row r="4" ht="14.25" customHeight="1">
      <c r="A4" s="4">
        <v>2.0</v>
      </c>
      <c r="B4" s="5">
        <v>42376.591631944444</v>
      </c>
      <c r="C4" s="4">
        <v>23.0</v>
      </c>
      <c r="D4" s="7" t="str">
        <f>VLOOKUP(C4,inventory,3,true)</f>
        <v>dry_goods</v>
      </c>
      <c r="E4" s="4">
        <f>IFERROR(__xludf.DUMMYFUNCTION("""COMPUTED_VALUE"""),4.0)</f>
        <v>4</v>
      </c>
      <c r="F4" s="4">
        <f t="shared" si="1"/>
        <v>3</v>
      </c>
      <c r="G4" s="4" t="str">
        <f>IFERROR(__xludf.DUMMYFUNCTION("""COMPUTED_VALUE"""),"dairy")</f>
        <v>dairy</v>
      </c>
      <c r="H4" s="4">
        <f t="shared" si="2"/>
        <v>74</v>
      </c>
      <c r="I4" s="4" t="s">
        <v>11</v>
      </c>
      <c r="J4" s="4">
        <v>86.0</v>
      </c>
      <c r="K4" s="4">
        <f>VLOOKUP(C4, Inventory_data!$A$1:$G$86, 5, True)</f>
        <v>0.91</v>
      </c>
      <c r="N4" s="6"/>
    </row>
    <row r="5" ht="14.25" customHeight="1">
      <c r="A5" s="4">
        <v>4.0</v>
      </c>
      <c r="B5" s="5">
        <v>42375.748402777775</v>
      </c>
      <c r="C5" s="4">
        <v>52.0</v>
      </c>
      <c r="D5" s="4" t="str">
        <f>VLOOKUP(C5,inventory,3,true)</f>
        <v>dairy</v>
      </c>
      <c r="E5" s="4">
        <f>IFERROR(__xludf.DUMMYFUNCTION("""COMPUTED_VALUE"""),5.0)</f>
        <v>5</v>
      </c>
      <c r="F5" s="4">
        <f t="shared" si="1"/>
        <v>1</v>
      </c>
      <c r="G5" s="4" t="str">
        <f>IFERROR(__xludf.DUMMYFUNCTION("""COMPUTED_VALUE"""),"snacks")</f>
        <v>snacks</v>
      </c>
      <c r="H5" s="4">
        <f t="shared" si="2"/>
        <v>86</v>
      </c>
      <c r="I5" s="4" t="s">
        <v>12</v>
      </c>
      <c r="J5" s="4">
        <v>74.0</v>
      </c>
      <c r="K5" s="4">
        <f>VLOOKUP(C5, Inventory_data!$A$1:$G$86, 5, True)</f>
        <v>1.79</v>
      </c>
      <c r="N5" s="6"/>
    </row>
    <row r="6" ht="14.25" customHeight="1">
      <c r="A6" s="4">
        <v>4.0</v>
      </c>
      <c r="B6" s="5">
        <v>42375.748402777775</v>
      </c>
      <c r="C6" s="4">
        <v>4.0</v>
      </c>
      <c r="D6" s="4" t="str">
        <f>VLOOKUP(C6,inventory,3,true)</f>
        <v>produce</v>
      </c>
      <c r="E6" s="4">
        <f>IFERROR(__xludf.DUMMYFUNCTION("""COMPUTED_VALUE"""),7.0)</f>
        <v>7</v>
      </c>
      <c r="F6" s="4">
        <f t="shared" si="1"/>
        <v>5</v>
      </c>
      <c r="G6" s="4" t="str">
        <f>IFERROR(__xludf.DUMMYFUNCTION("""COMPUTED_VALUE"""),"frozen")</f>
        <v>frozen</v>
      </c>
      <c r="H6" s="4">
        <f t="shared" si="2"/>
        <v>56</v>
      </c>
      <c r="I6" s="4" t="s">
        <v>13</v>
      </c>
      <c r="J6" s="4">
        <v>56.0</v>
      </c>
      <c r="K6" s="4">
        <f>VLOOKUP(C6, Inventory_data!$A$1:$G$86, 5, True)</f>
        <v>1.19</v>
      </c>
      <c r="N6" s="6"/>
    </row>
    <row r="7" ht="14.25" customHeight="1">
      <c r="A7" s="4">
        <v>4.0</v>
      </c>
      <c r="B7" s="5">
        <v>42375.748402777775</v>
      </c>
      <c r="C7" s="4">
        <v>76.0</v>
      </c>
      <c r="D7" s="4" t="str">
        <f>VLOOKUP(C7,inventory,3,true)</f>
        <v>snacks</v>
      </c>
      <c r="E7" s="4">
        <f>IFERROR(__xludf.DUMMYFUNCTION("""COMPUTED_VALUE"""),8.0)</f>
        <v>8</v>
      </c>
      <c r="F7" s="4">
        <f t="shared" si="1"/>
        <v>4</v>
      </c>
      <c r="G7" s="4" t="str">
        <f>IFERROR(__xludf.DUMMYFUNCTION("""COMPUTED_VALUE"""),"other")</f>
        <v>other</v>
      </c>
      <c r="H7" s="4">
        <f t="shared" si="2"/>
        <v>19</v>
      </c>
      <c r="I7" s="4" t="s">
        <v>14</v>
      </c>
      <c r="J7" s="4">
        <v>22.0</v>
      </c>
      <c r="K7" s="4">
        <f>VLOOKUP(C7, Inventory_data!$A$1:$G$86, 5, True)</f>
        <v>0.69</v>
      </c>
      <c r="N7" s="6"/>
    </row>
    <row r="8" ht="14.25" customHeight="1">
      <c r="A8" s="4">
        <v>5.0</v>
      </c>
      <c r="B8" s="5">
        <v>42376.61931712963</v>
      </c>
      <c r="C8" s="4">
        <v>45.0</v>
      </c>
      <c r="D8" s="4" t="str">
        <f>VLOOKUP(C8,inventory,3,true)</f>
        <v>frozen</v>
      </c>
      <c r="E8" s="4">
        <f>IFERROR(__xludf.DUMMYFUNCTION("""COMPUTED_VALUE"""),9.0)</f>
        <v>9</v>
      </c>
      <c r="F8" s="4">
        <f t="shared" si="1"/>
        <v>5</v>
      </c>
      <c r="G8" s="4" t="str">
        <f>IFERROR(__xludf.DUMMYFUNCTION("""COMPUTED_VALUE"""),"meat")</f>
        <v>meat</v>
      </c>
      <c r="H8" s="4">
        <f t="shared" si="2"/>
        <v>14</v>
      </c>
      <c r="I8" s="4" t="s">
        <v>15</v>
      </c>
      <c r="J8" s="4">
        <v>19.0</v>
      </c>
      <c r="K8" s="4">
        <f>VLOOKUP(C8, Inventory_data!$A$1:$G$86, 5, True)</f>
        <v>1.29</v>
      </c>
      <c r="N8" s="6"/>
    </row>
    <row r="9" ht="14.25" customHeight="1">
      <c r="A9" s="4">
        <v>7.0</v>
      </c>
      <c r="B9" s="5">
        <v>42376.505162037036</v>
      </c>
      <c r="C9" s="4">
        <v>17.0</v>
      </c>
      <c r="D9" s="4" t="str">
        <f>VLOOKUP(C9,inventory,3,true)</f>
        <v>other</v>
      </c>
      <c r="E9" s="4">
        <f>IFERROR(__xludf.DUMMYFUNCTION("""COMPUTED_VALUE"""),10.0)</f>
        <v>10</v>
      </c>
      <c r="F9" s="4">
        <f t="shared" si="1"/>
        <v>1</v>
      </c>
      <c r="G9" s="4" t="str">
        <f>IFERROR(__xludf.DUMMYFUNCTION("""COMPUTED_VALUE"""),"canned_jarred_goods")</f>
        <v>canned_jarred_goods</v>
      </c>
      <c r="H9" s="4">
        <f t="shared" si="2"/>
        <v>22</v>
      </c>
      <c r="I9" s="4" t="s">
        <v>16</v>
      </c>
      <c r="J9" s="4">
        <v>19.0</v>
      </c>
      <c r="K9" s="4">
        <f>VLOOKUP(C9, Inventory_data!$A$1:$G$86, 5, True)</f>
        <v>2.67</v>
      </c>
      <c r="N9" s="6"/>
    </row>
    <row r="10" ht="14.25" customHeight="1">
      <c r="A10" s="4">
        <v>7.0</v>
      </c>
      <c r="B10" s="5">
        <v>42376.505162037036</v>
      </c>
      <c r="C10" s="4">
        <v>31.0</v>
      </c>
      <c r="D10" s="4" t="str">
        <f>VLOOKUP(C10,inventory,3,true)</f>
        <v>snacks</v>
      </c>
      <c r="E10" s="4">
        <f>IFERROR(__xludf.DUMMYFUNCTION("""COMPUTED_VALUE"""),11.0)</f>
        <v>11</v>
      </c>
      <c r="F10" s="4">
        <f t="shared" si="1"/>
        <v>5</v>
      </c>
      <c r="G10" s="4" t="str">
        <f>IFERROR(__xludf.DUMMYFUNCTION("""COMPUTED_VALUE"""),"beverages")</f>
        <v>beverages</v>
      </c>
      <c r="H10" s="4">
        <f t="shared" si="2"/>
        <v>19</v>
      </c>
      <c r="I10" s="4" t="s">
        <v>17</v>
      </c>
      <c r="J10" s="4">
        <v>14.0</v>
      </c>
      <c r="K10" s="4">
        <f>VLOOKUP(C10, Inventory_data!$A$1:$G$86, 5, True)</f>
        <v>0.61</v>
      </c>
      <c r="N10" s="6"/>
    </row>
    <row r="11" ht="14.25" customHeight="1">
      <c r="A11" s="4">
        <v>7.0</v>
      </c>
      <c r="B11" s="5">
        <v>42376.505162037036</v>
      </c>
      <c r="C11" s="4">
        <v>21.0</v>
      </c>
      <c r="D11" s="4" t="str">
        <f>VLOOKUP(C11,inventory,3,true)</f>
        <v>snacks</v>
      </c>
      <c r="E11" s="4">
        <f>IFERROR(__xludf.DUMMYFUNCTION("""COMPUTED_VALUE"""),12.0)</f>
        <v>12</v>
      </c>
      <c r="F11" s="4">
        <f t="shared" si="1"/>
        <v>1</v>
      </c>
      <c r="G11" s="4" t="str">
        <f>IFERROR(__xludf.DUMMYFUNCTION("""COMPUTED_VALUE"""),"bread")</f>
        <v>bread</v>
      </c>
      <c r="H11" s="8">
        <v>6.0</v>
      </c>
      <c r="I11" s="4" t="s">
        <v>18</v>
      </c>
      <c r="J11" s="4">
        <v>6.0</v>
      </c>
      <c r="K11" s="4">
        <f>VLOOKUP(C11, Inventory_data!$A$1:$G$86, 5, True)</f>
        <v>2.59</v>
      </c>
    </row>
    <row r="12" ht="14.25" customHeight="1">
      <c r="A12" s="4">
        <v>7.0</v>
      </c>
      <c r="B12" s="5">
        <v>42376.505162037036</v>
      </c>
      <c r="C12" s="4">
        <v>47.0</v>
      </c>
      <c r="D12" s="4" t="str">
        <f>VLOOKUP(C12,inventory,3,true)</f>
        <v>dairy</v>
      </c>
      <c r="E12" s="4">
        <f>IFERROR(__xludf.DUMMYFUNCTION("""COMPUTED_VALUE"""),13.0)</f>
        <v>13</v>
      </c>
      <c r="F12" s="4">
        <f t="shared" si="1"/>
        <v>1</v>
      </c>
      <c r="K12" s="4">
        <f>VLOOKUP(C12, Inventory_data!$A$1:$G$86, 5, True)</f>
        <v>1.17</v>
      </c>
      <c r="N12" s="6"/>
    </row>
    <row r="13" ht="14.25" customHeight="1">
      <c r="A13" s="4">
        <v>7.0</v>
      </c>
      <c r="B13" s="5">
        <v>42376.505162037036</v>
      </c>
      <c r="C13" s="4">
        <v>44.0</v>
      </c>
      <c r="D13" s="4" t="str">
        <f>VLOOKUP(C13,inventory,3,true)</f>
        <v>frozen</v>
      </c>
      <c r="E13" s="4">
        <f>IFERROR(__xludf.DUMMYFUNCTION("""COMPUTED_VALUE"""),15.0)</f>
        <v>15</v>
      </c>
      <c r="F13" s="4">
        <f t="shared" si="1"/>
        <v>3</v>
      </c>
      <c r="K13" s="4">
        <f>VLOOKUP(C13, Inventory_data!$A$1:$G$86, 5, True)</f>
        <v>4.99</v>
      </c>
    </row>
    <row r="14" ht="14.25" customHeight="1">
      <c r="A14" s="4">
        <v>8.0</v>
      </c>
      <c r="B14" s="5">
        <v>42376.39976851852</v>
      </c>
      <c r="C14" s="4">
        <v>8.0</v>
      </c>
      <c r="D14" s="4" t="str">
        <f>VLOOKUP(C14,inventory,3,true)</f>
        <v>produce</v>
      </c>
      <c r="E14" s="4">
        <f>IFERROR(__xludf.DUMMYFUNCTION("""COMPUTED_VALUE"""),16.0)</f>
        <v>16</v>
      </c>
      <c r="F14" s="4">
        <f t="shared" si="1"/>
        <v>3</v>
      </c>
      <c r="K14" s="4">
        <f>VLOOKUP(C14, Inventory_data!$A$1:$G$86, 5, True)</f>
        <v>3.99</v>
      </c>
    </row>
    <row r="15" ht="14.25" customHeight="1">
      <c r="A15" s="4">
        <v>8.0</v>
      </c>
      <c r="B15" s="5">
        <v>42376.39976851852</v>
      </c>
      <c r="C15" s="4">
        <v>60.0</v>
      </c>
      <c r="D15" s="4" t="str">
        <f>VLOOKUP(C15,inventory,3,true)</f>
        <v>produce</v>
      </c>
      <c r="E15" s="4">
        <f>IFERROR(__xludf.DUMMYFUNCTION("""COMPUTED_VALUE"""),17.0)</f>
        <v>17</v>
      </c>
      <c r="F15" s="4">
        <f t="shared" si="1"/>
        <v>2</v>
      </c>
      <c r="K15" s="4">
        <f>VLOOKUP(C15, Inventory_data!$A$1:$G$86, 5, True)</f>
        <v>2.06</v>
      </c>
    </row>
    <row r="16" ht="14.25" customHeight="1">
      <c r="A16" s="4">
        <v>8.0</v>
      </c>
      <c r="B16" s="5">
        <v>42376.39976851852</v>
      </c>
      <c r="C16" s="4">
        <v>38.0</v>
      </c>
      <c r="D16" s="4" t="str">
        <f>VLOOKUP(C16,inventory,3,true)</f>
        <v>frozen</v>
      </c>
      <c r="E16" s="4">
        <f>IFERROR(__xludf.DUMMYFUNCTION("""COMPUTED_VALUE"""),19.0)</f>
        <v>19</v>
      </c>
      <c r="F16" s="4">
        <f t="shared" si="1"/>
        <v>2</v>
      </c>
      <c r="I16" s="4" t="str">
        <f t="array" ref="I16:J25">SORT(G16:H25,2,false)</f>
        <v/>
      </c>
      <c r="J16" s="4"/>
      <c r="K16" s="4">
        <f>VLOOKUP(C16, Inventory_data!$A$1:$G$86, 5, True)</f>
        <v>1.19</v>
      </c>
    </row>
    <row r="17" ht="14.25" customHeight="1">
      <c r="A17" s="4">
        <v>8.0</v>
      </c>
      <c r="B17" s="5">
        <v>42376.39976851852</v>
      </c>
      <c r="C17" s="4">
        <v>64.0</v>
      </c>
      <c r="D17" s="4" t="str">
        <f>VLOOKUP(C17,inventory,3,true)</f>
        <v>produce</v>
      </c>
      <c r="E17" s="4">
        <f>IFERROR(__xludf.DUMMYFUNCTION("""COMPUTED_VALUE"""),20.0)</f>
        <v>20</v>
      </c>
      <c r="F17" s="4">
        <f t="shared" si="1"/>
        <v>4</v>
      </c>
      <c r="I17" s="4"/>
      <c r="J17" s="4"/>
      <c r="K17" s="4">
        <f>VLOOKUP(C17, Inventory_data!$A$1:$G$86, 5, True)</f>
        <v>1.22</v>
      </c>
    </row>
    <row r="18" ht="14.25" customHeight="1">
      <c r="A18" s="4">
        <v>9.0</v>
      </c>
      <c r="B18" s="5">
        <v>42372.37939814815</v>
      </c>
      <c r="C18" s="4">
        <v>12.0</v>
      </c>
      <c r="D18" s="4" t="str">
        <f>VLOOKUP(C18,inventory,3,true)</f>
        <v>dairy</v>
      </c>
      <c r="E18" s="4">
        <f>IFERROR(__xludf.DUMMYFUNCTION("""COMPUTED_VALUE"""),21.0)</f>
        <v>21</v>
      </c>
      <c r="F18" s="4">
        <f t="shared" si="1"/>
        <v>4</v>
      </c>
      <c r="I18" s="4"/>
      <c r="J18" s="4"/>
      <c r="K18" s="4">
        <f>VLOOKUP(C18, Inventory_data!$A$1:$G$86, 5, True)</f>
        <v>1.15</v>
      </c>
    </row>
    <row r="19" ht="14.25" customHeight="1">
      <c r="A19" s="4">
        <v>9.0</v>
      </c>
      <c r="B19" s="5">
        <v>42372.37939814815</v>
      </c>
      <c r="C19" s="4">
        <v>14.0</v>
      </c>
      <c r="D19" s="4" t="str">
        <f>VLOOKUP(C19,inventory,3,true)</f>
        <v>snacks</v>
      </c>
      <c r="E19" s="4">
        <f>IFERROR(__xludf.DUMMYFUNCTION("""COMPUTED_VALUE"""),22.0)</f>
        <v>22</v>
      </c>
      <c r="F19" s="4">
        <f t="shared" si="1"/>
        <v>2</v>
      </c>
      <c r="I19" s="4"/>
      <c r="J19" s="4"/>
      <c r="K19" s="4">
        <f>VLOOKUP(C19, Inventory_data!$A$1:$G$86, 5, True)</f>
        <v>0.53</v>
      </c>
    </row>
    <row r="20" ht="14.25" customHeight="1">
      <c r="A20" s="4">
        <v>9.0</v>
      </c>
      <c r="B20" s="5">
        <v>42372.37939814815</v>
      </c>
      <c r="C20" s="4">
        <v>17.0</v>
      </c>
      <c r="D20" s="4" t="str">
        <f>VLOOKUP(C20,inventory,3,true)</f>
        <v>other</v>
      </c>
      <c r="E20" s="4">
        <f>IFERROR(__xludf.DUMMYFUNCTION("""COMPUTED_VALUE"""),23.0)</f>
        <v>23</v>
      </c>
      <c r="F20" s="4">
        <f t="shared" si="1"/>
        <v>4</v>
      </c>
      <c r="I20" s="4"/>
      <c r="J20" s="4"/>
      <c r="K20" s="4">
        <f>VLOOKUP(C20, Inventory_data!$A$1:$G$86, 5, True)</f>
        <v>2.67</v>
      </c>
    </row>
    <row r="21" ht="14.25" customHeight="1">
      <c r="A21" s="4">
        <v>9.0</v>
      </c>
      <c r="B21" s="5">
        <v>42372.37939814815</v>
      </c>
      <c r="C21" s="4">
        <v>70.0</v>
      </c>
      <c r="D21" s="4" t="str">
        <f>VLOOKUP(C21,inventory,3,true)</f>
        <v>dry_goods</v>
      </c>
      <c r="E21" s="4">
        <f>IFERROR(__xludf.DUMMYFUNCTION("""COMPUTED_VALUE"""),24.0)</f>
        <v>24</v>
      </c>
      <c r="F21" s="4">
        <f t="shared" si="1"/>
        <v>2</v>
      </c>
      <c r="I21" s="4"/>
      <c r="J21" s="4"/>
      <c r="K21" s="4">
        <f>VLOOKUP(C21, Inventory_data!$A$1:$G$86, 5, True)</f>
        <v>0.19</v>
      </c>
    </row>
    <row r="22" ht="14.25" customHeight="1">
      <c r="A22" s="4">
        <v>9.0</v>
      </c>
      <c r="B22" s="5">
        <v>42372.37939814815</v>
      </c>
      <c r="C22" s="4">
        <v>10.0</v>
      </c>
      <c r="D22" s="4" t="str">
        <f>VLOOKUP(C22,inventory,3,true)</f>
        <v>produce</v>
      </c>
      <c r="E22" s="4">
        <f>IFERROR(__xludf.DUMMYFUNCTION("""COMPUTED_VALUE"""),25.0)</f>
        <v>25</v>
      </c>
      <c r="F22" s="4">
        <f t="shared" si="1"/>
        <v>1</v>
      </c>
      <c r="I22" s="4"/>
      <c r="J22" s="4"/>
      <c r="K22" s="4">
        <f>VLOOKUP(C22, Inventory_data!$A$1:$G$86, 5, True)</f>
        <v>0.96</v>
      </c>
    </row>
    <row r="23" ht="14.25" customHeight="1">
      <c r="A23" s="4">
        <v>10.0</v>
      </c>
      <c r="B23" s="5">
        <v>42373.36599537037</v>
      </c>
      <c r="C23" s="4">
        <v>18.0</v>
      </c>
      <c r="D23" s="4" t="str">
        <f>VLOOKUP(C23,inventory,3,true)</f>
        <v>dry_goods</v>
      </c>
      <c r="E23" s="4">
        <f>IFERROR(__xludf.DUMMYFUNCTION("""COMPUTED_VALUE"""),26.0)</f>
        <v>26</v>
      </c>
      <c r="F23" s="4">
        <f t="shared" si="1"/>
        <v>5</v>
      </c>
      <c r="I23" s="4"/>
      <c r="J23" s="4"/>
      <c r="K23" s="4">
        <f>VLOOKUP(C23, Inventory_data!$A$1:$G$86, 5, True)</f>
        <v>0.67</v>
      </c>
    </row>
    <row r="24" ht="14.25" customHeight="1">
      <c r="A24" s="4">
        <v>11.0</v>
      </c>
      <c r="B24" s="5">
        <v>42377.486712962964</v>
      </c>
      <c r="C24" s="4">
        <v>77.0</v>
      </c>
      <c r="D24" s="4" t="str">
        <f>VLOOKUP(C24,inventory,3,true)</f>
        <v>produce</v>
      </c>
      <c r="E24" s="4">
        <f>IFERROR(__xludf.DUMMYFUNCTION("""COMPUTED_VALUE"""),27.0)</f>
        <v>27</v>
      </c>
      <c r="F24" s="4">
        <f t="shared" si="1"/>
        <v>3</v>
      </c>
      <c r="I24" s="4"/>
      <c r="J24" s="4"/>
      <c r="K24" s="4">
        <f>VLOOKUP(C24, Inventory_data!$A$1:$G$86, 5, True)</f>
        <v>2.67</v>
      </c>
    </row>
    <row r="25" ht="14.25" customHeight="1">
      <c r="A25" s="4">
        <v>11.0</v>
      </c>
      <c r="B25" s="5">
        <v>42377.486712962964</v>
      </c>
      <c r="C25" s="4">
        <v>25.0</v>
      </c>
      <c r="D25" s="4" t="str">
        <f>VLOOKUP(C25,inventory,3,true)</f>
        <v>meat</v>
      </c>
      <c r="E25" s="4">
        <f>IFERROR(__xludf.DUMMYFUNCTION("""COMPUTED_VALUE"""),29.0)</f>
        <v>29</v>
      </c>
      <c r="F25" s="4">
        <f t="shared" si="1"/>
        <v>1</v>
      </c>
      <c r="I25" s="4"/>
      <c r="J25" s="4"/>
      <c r="K25" s="4">
        <f>VLOOKUP(C25, Inventory_data!$A$1:$G$86, 5, True)</f>
        <v>39.99</v>
      </c>
    </row>
    <row r="26" ht="14.25" customHeight="1">
      <c r="A26" s="4">
        <v>11.0</v>
      </c>
      <c r="B26" s="5">
        <v>42377.486712962964</v>
      </c>
      <c r="C26" s="4">
        <v>47.0</v>
      </c>
      <c r="D26" s="4" t="str">
        <f>VLOOKUP(C26,inventory,3,true)</f>
        <v>dairy</v>
      </c>
      <c r="E26" s="4">
        <f>IFERROR(__xludf.DUMMYFUNCTION("""COMPUTED_VALUE"""),30.0)</f>
        <v>30</v>
      </c>
      <c r="F26" s="4">
        <f t="shared" si="1"/>
        <v>1</v>
      </c>
      <c r="K26" s="4">
        <f>VLOOKUP(C26, Inventory_data!$A$1:$G$86, 5, True)</f>
        <v>1.17</v>
      </c>
    </row>
    <row r="27" ht="14.25" customHeight="1">
      <c r="A27" s="4">
        <v>11.0</v>
      </c>
      <c r="B27" s="5">
        <v>42377.486712962964</v>
      </c>
      <c r="C27" s="4">
        <v>36.0</v>
      </c>
      <c r="D27" s="4" t="str">
        <f>VLOOKUP(C27,inventory,3,true)</f>
        <v>canned_jarred_goods</v>
      </c>
      <c r="E27" s="4">
        <f>IFERROR(__xludf.DUMMYFUNCTION("""COMPUTED_VALUE"""),31.0)</f>
        <v>31</v>
      </c>
      <c r="F27" s="4">
        <f t="shared" si="1"/>
        <v>1</v>
      </c>
      <c r="K27" s="4">
        <f>VLOOKUP(C27, Inventory_data!$A$1:$G$86, 5, True)</f>
        <v>1.12</v>
      </c>
    </row>
    <row r="28" ht="14.25" customHeight="1">
      <c r="A28" s="4">
        <v>11.0</v>
      </c>
      <c r="B28" s="5">
        <v>42377.486712962964</v>
      </c>
      <c r="C28" s="4">
        <v>10.0</v>
      </c>
      <c r="D28" s="4" t="str">
        <f>VLOOKUP(C28,inventory,3,true)</f>
        <v>produce</v>
      </c>
      <c r="E28" s="4">
        <f>IFERROR(__xludf.DUMMYFUNCTION("""COMPUTED_VALUE"""),32.0)</f>
        <v>32</v>
      </c>
      <c r="F28" s="4">
        <f t="shared" si="1"/>
        <v>5</v>
      </c>
      <c r="K28" s="4">
        <f>VLOOKUP(C28, Inventory_data!$A$1:$G$86, 5, True)</f>
        <v>0.96</v>
      </c>
    </row>
    <row r="29" ht="14.25" customHeight="1">
      <c r="A29" s="4">
        <v>12.0</v>
      </c>
      <c r="B29" s="5">
        <v>42373.74</v>
      </c>
      <c r="C29" s="4">
        <v>66.0</v>
      </c>
      <c r="D29" s="4" t="str">
        <f>VLOOKUP(C29,inventory,3,true)</f>
        <v>produce</v>
      </c>
      <c r="E29" s="4">
        <f>IFERROR(__xludf.DUMMYFUNCTION("""COMPUTED_VALUE"""),33.0)</f>
        <v>33</v>
      </c>
      <c r="F29" s="4">
        <f t="shared" si="1"/>
        <v>1</v>
      </c>
      <c r="K29" s="4">
        <f>VLOOKUP(C29, Inventory_data!$A$1:$G$86, 5, True)</f>
        <v>1.12</v>
      </c>
    </row>
    <row r="30" ht="14.25" customHeight="1">
      <c r="A30" s="4">
        <v>13.0</v>
      </c>
      <c r="B30" s="5">
        <v>42373.55771990741</v>
      </c>
      <c r="C30" s="4">
        <v>21.0</v>
      </c>
      <c r="D30" s="4" t="str">
        <f>VLOOKUP(C30,inventory,3,true)</f>
        <v>snacks</v>
      </c>
      <c r="E30" s="4">
        <f>IFERROR(__xludf.DUMMYFUNCTION("""COMPUTED_VALUE"""),34.0)</f>
        <v>34</v>
      </c>
      <c r="F30" s="4">
        <f t="shared" si="1"/>
        <v>1</v>
      </c>
      <c r="K30" s="4">
        <f>VLOOKUP(C30, Inventory_data!$A$1:$G$86, 5, True)</f>
        <v>2.59</v>
      </c>
    </row>
    <row r="31" ht="14.25" customHeight="1">
      <c r="A31" s="4">
        <v>15.0</v>
      </c>
      <c r="B31" s="5">
        <v>42374.3843287037</v>
      </c>
      <c r="C31" s="4">
        <v>42.0</v>
      </c>
      <c r="D31" s="4" t="str">
        <f>VLOOKUP(C31,inventory,3,true)</f>
        <v>produce</v>
      </c>
      <c r="E31" s="4">
        <f>IFERROR(__xludf.DUMMYFUNCTION("""COMPUTED_VALUE"""),35.0)</f>
        <v>35</v>
      </c>
      <c r="F31" s="4">
        <f t="shared" si="1"/>
        <v>3</v>
      </c>
      <c r="K31" s="4">
        <f>VLOOKUP(C31, Inventory_data!$A$1:$G$86, 5, True)</f>
        <v>5.99</v>
      </c>
    </row>
    <row r="32" ht="14.25" customHeight="1">
      <c r="A32" s="4">
        <v>15.0</v>
      </c>
      <c r="B32" s="5">
        <v>42374.3843287037</v>
      </c>
      <c r="C32" s="4">
        <v>56.0</v>
      </c>
      <c r="D32" s="4" t="str">
        <f>VLOOKUP(C32,inventory,3,true)</f>
        <v>dry_goods</v>
      </c>
      <c r="E32" s="4">
        <f>IFERROR(__xludf.DUMMYFUNCTION("""COMPUTED_VALUE"""),36.0)</f>
        <v>36</v>
      </c>
      <c r="F32" s="4">
        <f t="shared" si="1"/>
        <v>2</v>
      </c>
      <c r="K32" s="4">
        <f>VLOOKUP(C32, Inventory_data!$A$1:$G$86, 5, True)</f>
        <v>0.86</v>
      </c>
    </row>
    <row r="33" ht="14.25" customHeight="1">
      <c r="A33" s="4">
        <v>15.0</v>
      </c>
      <c r="B33" s="5">
        <v>42374.3843287037</v>
      </c>
      <c r="C33" s="4">
        <v>29.0</v>
      </c>
      <c r="D33" s="4" t="str">
        <f>VLOOKUP(C33,inventory,3,true)</f>
        <v>dairy</v>
      </c>
      <c r="E33" s="4">
        <f>IFERROR(__xludf.DUMMYFUNCTION("""COMPUTED_VALUE"""),37.0)</f>
        <v>37</v>
      </c>
      <c r="F33" s="4">
        <f t="shared" si="1"/>
        <v>3</v>
      </c>
      <c r="K33" s="4">
        <f>VLOOKUP(C33, Inventory_data!$A$1:$G$86, 5, True)</f>
        <v>0.63</v>
      </c>
    </row>
    <row r="34" ht="14.25" customHeight="1">
      <c r="A34" s="4">
        <v>16.0</v>
      </c>
      <c r="B34" s="5">
        <v>42374.600752314815</v>
      </c>
      <c r="C34" s="4">
        <v>36.0</v>
      </c>
      <c r="D34" s="4" t="str">
        <f>VLOOKUP(C34,inventory,3,true)</f>
        <v>canned_jarred_goods</v>
      </c>
      <c r="E34" s="4">
        <f>IFERROR(__xludf.DUMMYFUNCTION("""COMPUTED_VALUE"""),38.0)</f>
        <v>38</v>
      </c>
      <c r="F34" s="4">
        <f t="shared" si="1"/>
        <v>1</v>
      </c>
      <c r="K34" s="4">
        <f>VLOOKUP(C34, Inventory_data!$A$1:$G$86, 5, True)</f>
        <v>1.12</v>
      </c>
    </row>
    <row r="35" ht="14.25" customHeight="1">
      <c r="A35" s="4">
        <v>16.0</v>
      </c>
      <c r="B35" s="5">
        <v>42374.600752314815</v>
      </c>
      <c r="C35" s="4">
        <v>41.0</v>
      </c>
      <c r="D35" s="4" t="str">
        <f>VLOOKUP(C35,inventory,3,true)</f>
        <v>frozen</v>
      </c>
      <c r="E35" s="4">
        <f>IFERROR(__xludf.DUMMYFUNCTION("""COMPUTED_VALUE"""),39.0)</f>
        <v>39</v>
      </c>
      <c r="F35" s="4">
        <f t="shared" si="1"/>
        <v>2</v>
      </c>
      <c r="K35" s="4">
        <f>VLOOKUP(C35, Inventory_data!$A$1:$G$86, 5, True)</f>
        <v>1.09</v>
      </c>
    </row>
    <row r="36" ht="14.25" customHeight="1">
      <c r="A36" s="4">
        <v>16.0</v>
      </c>
      <c r="B36" s="5">
        <v>42374.600752314815</v>
      </c>
      <c r="C36" s="4">
        <v>22.0</v>
      </c>
      <c r="D36" s="4" t="str">
        <f>VLOOKUP(C36,inventory,3,true)</f>
        <v>meat</v>
      </c>
      <c r="E36" s="4">
        <f>IFERROR(__xludf.DUMMYFUNCTION("""COMPUTED_VALUE"""),40.0)</f>
        <v>40</v>
      </c>
      <c r="F36" s="4">
        <f t="shared" si="1"/>
        <v>3</v>
      </c>
      <c r="K36" s="4">
        <f>VLOOKUP(C36, Inventory_data!$A$1:$G$86, 5, True)</f>
        <v>19.59</v>
      </c>
    </row>
    <row r="37" ht="14.25" customHeight="1">
      <c r="A37" s="4">
        <v>17.0</v>
      </c>
      <c r="B37" s="5">
        <v>42376.787835648145</v>
      </c>
      <c r="C37" s="4">
        <v>73.0</v>
      </c>
      <c r="D37" s="4" t="str">
        <f>VLOOKUP(C37,inventory,3,true)</f>
        <v>snacks</v>
      </c>
      <c r="E37" s="4">
        <f>IFERROR(__xludf.DUMMYFUNCTION("""COMPUTED_VALUE"""),41.0)</f>
        <v>41</v>
      </c>
      <c r="F37" s="4">
        <f t="shared" si="1"/>
        <v>3</v>
      </c>
      <c r="K37" s="4">
        <f>VLOOKUP(C37, Inventory_data!$A$1:$G$86, 5, True)</f>
        <v>0.69</v>
      </c>
    </row>
    <row r="38" ht="14.25" customHeight="1">
      <c r="A38" s="4">
        <v>17.0</v>
      </c>
      <c r="B38" s="5">
        <v>42376.787835648145</v>
      </c>
      <c r="C38" s="4">
        <v>41.0</v>
      </c>
      <c r="D38" s="4" t="str">
        <f>VLOOKUP(C38,inventory,3,true)</f>
        <v>frozen</v>
      </c>
      <c r="E38" s="4">
        <f>IFERROR(__xludf.DUMMYFUNCTION("""COMPUTED_VALUE"""),42.0)</f>
        <v>42</v>
      </c>
      <c r="F38" s="4">
        <f t="shared" si="1"/>
        <v>1</v>
      </c>
      <c r="K38" s="4">
        <f>VLOOKUP(C38, Inventory_data!$A$1:$G$86, 5, True)</f>
        <v>1.09</v>
      </c>
    </row>
    <row r="39" ht="14.25" customHeight="1">
      <c r="A39" s="4">
        <v>19.0</v>
      </c>
      <c r="B39" s="5">
        <v>42373.51445601852</v>
      </c>
      <c r="C39" s="4">
        <v>76.0</v>
      </c>
      <c r="D39" s="4" t="str">
        <f>VLOOKUP(C39,inventory,3,true)</f>
        <v>snacks</v>
      </c>
      <c r="E39" s="4">
        <f>IFERROR(__xludf.DUMMYFUNCTION("""COMPUTED_VALUE"""),43.0)</f>
        <v>43</v>
      </c>
      <c r="F39" s="4">
        <f t="shared" si="1"/>
        <v>2</v>
      </c>
      <c r="K39" s="4">
        <f>VLOOKUP(C39, Inventory_data!$A$1:$G$86, 5, True)</f>
        <v>0.69</v>
      </c>
    </row>
    <row r="40" ht="14.25" customHeight="1">
      <c r="A40" s="4">
        <v>19.0</v>
      </c>
      <c r="B40" s="5">
        <v>42373.51445601852</v>
      </c>
      <c r="C40" s="4">
        <v>71.0</v>
      </c>
      <c r="D40" s="4" t="str">
        <f>VLOOKUP(C40,inventory,3,true)</f>
        <v>dry_goods</v>
      </c>
      <c r="E40" s="4">
        <f>IFERROR(__xludf.DUMMYFUNCTION("""COMPUTED_VALUE"""),44.0)</f>
        <v>44</v>
      </c>
      <c r="F40" s="4">
        <f t="shared" si="1"/>
        <v>2</v>
      </c>
      <c r="K40" s="4">
        <f>VLOOKUP(C40, Inventory_data!$A$1:$G$86, 5, True)</f>
        <v>0.24</v>
      </c>
    </row>
    <row r="41" ht="14.25" customHeight="1">
      <c r="A41" s="4">
        <v>20.0</v>
      </c>
      <c r="B41" s="5">
        <v>42373.4178125</v>
      </c>
      <c r="C41" s="4">
        <v>6.0</v>
      </c>
      <c r="D41" s="4" t="str">
        <f>VLOOKUP(C41,inventory,3,true)</f>
        <v>produce</v>
      </c>
      <c r="E41" s="4">
        <f>IFERROR(__xludf.DUMMYFUNCTION("""COMPUTED_VALUE"""),45.0)</f>
        <v>45</v>
      </c>
      <c r="F41" s="4">
        <f t="shared" si="1"/>
        <v>5</v>
      </c>
      <c r="K41" s="4">
        <f>VLOOKUP(C41, Inventory_data!$A$1:$G$86, 5, True)</f>
        <v>1.69</v>
      </c>
    </row>
    <row r="42" ht="14.25" customHeight="1">
      <c r="A42" s="4">
        <v>20.0</v>
      </c>
      <c r="B42" s="5">
        <v>42373.4178125</v>
      </c>
      <c r="C42" s="4">
        <v>6.0</v>
      </c>
      <c r="D42" s="4" t="str">
        <f>VLOOKUP(C42,inventory,3,true)</f>
        <v>produce</v>
      </c>
      <c r="E42" s="4">
        <f>IFERROR(__xludf.DUMMYFUNCTION("""COMPUTED_VALUE"""),46.0)</f>
        <v>46</v>
      </c>
      <c r="F42" s="4">
        <f t="shared" si="1"/>
        <v>2</v>
      </c>
      <c r="K42" s="4">
        <f>VLOOKUP(C42, Inventory_data!$A$1:$G$86, 5, True)</f>
        <v>1.69</v>
      </c>
    </row>
    <row r="43" ht="14.25" customHeight="1">
      <c r="A43" s="4">
        <v>20.0</v>
      </c>
      <c r="B43" s="5">
        <v>42373.4178125</v>
      </c>
      <c r="C43" s="4">
        <v>29.0</v>
      </c>
      <c r="D43" s="4" t="str">
        <f>VLOOKUP(C43,inventory,3,true)</f>
        <v>dairy</v>
      </c>
      <c r="E43" s="4">
        <f>IFERROR(__xludf.DUMMYFUNCTION("""COMPUTED_VALUE"""),47.0)</f>
        <v>47</v>
      </c>
      <c r="F43" s="4">
        <f t="shared" si="1"/>
        <v>1</v>
      </c>
      <c r="K43" s="4">
        <f>VLOOKUP(C43, Inventory_data!$A$1:$G$86, 5, True)</f>
        <v>0.63</v>
      </c>
    </row>
    <row r="44" ht="14.25" customHeight="1">
      <c r="A44" s="4">
        <v>20.0</v>
      </c>
      <c r="B44" s="5">
        <v>42373.4178125</v>
      </c>
      <c r="C44" s="4">
        <v>10.0</v>
      </c>
      <c r="D44" s="4" t="str">
        <f>VLOOKUP(C44,inventory,3,true)</f>
        <v>produce</v>
      </c>
      <c r="E44" s="4">
        <f>IFERROR(__xludf.DUMMYFUNCTION("""COMPUTED_VALUE"""),48.0)</f>
        <v>48</v>
      </c>
      <c r="F44" s="4">
        <f t="shared" si="1"/>
        <v>4</v>
      </c>
      <c r="K44" s="4">
        <f>VLOOKUP(C44, Inventory_data!$A$1:$G$86, 5, True)</f>
        <v>0.96</v>
      </c>
    </row>
    <row r="45" ht="14.25" customHeight="1">
      <c r="A45" s="4">
        <v>21.0</v>
      </c>
      <c r="B45" s="5">
        <v>42374.39524305556</v>
      </c>
      <c r="C45" s="4">
        <v>47.0</v>
      </c>
      <c r="D45" s="4" t="str">
        <f>VLOOKUP(C45,inventory,3,true)</f>
        <v>dairy</v>
      </c>
      <c r="E45" s="4">
        <f>IFERROR(__xludf.DUMMYFUNCTION("""COMPUTED_VALUE"""),49.0)</f>
        <v>49</v>
      </c>
      <c r="F45" s="4">
        <f t="shared" si="1"/>
        <v>2</v>
      </c>
      <c r="K45" s="4">
        <f>VLOOKUP(C45, Inventory_data!$A$1:$G$86, 5, True)</f>
        <v>1.17</v>
      </c>
    </row>
    <row r="46" ht="14.25" customHeight="1">
      <c r="A46" s="4">
        <v>21.0</v>
      </c>
      <c r="B46" s="5">
        <v>42374.39524305556</v>
      </c>
      <c r="C46" s="4">
        <v>68.0</v>
      </c>
      <c r="D46" s="4" t="str">
        <f>VLOOKUP(C46,inventory,3,true)</f>
        <v>produce</v>
      </c>
      <c r="E46" s="4">
        <f>IFERROR(__xludf.DUMMYFUNCTION("""COMPUTED_VALUE"""),50.0)</f>
        <v>50</v>
      </c>
      <c r="F46" s="4">
        <f t="shared" si="1"/>
        <v>2</v>
      </c>
      <c r="K46" s="4">
        <f>VLOOKUP(C46, Inventory_data!$A$1:$G$86, 5, True)</f>
        <v>0.67</v>
      </c>
    </row>
    <row r="47" ht="14.25" customHeight="1">
      <c r="A47" s="4">
        <v>21.0</v>
      </c>
      <c r="B47" s="5">
        <v>42374.39524305556</v>
      </c>
      <c r="C47" s="4">
        <v>52.0</v>
      </c>
      <c r="D47" s="4" t="str">
        <f>VLOOKUP(C47,inventory,3,true)</f>
        <v>dairy</v>
      </c>
      <c r="E47" s="4">
        <f>IFERROR(__xludf.DUMMYFUNCTION("""COMPUTED_VALUE"""),52.0)</f>
        <v>52</v>
      </c>
      <c r="F47" s="4">
        <f t="shared" si="1"/>
        <v>3</v>
      </c>
      <c r="K47" s="4">
        <f>VLOOKUP(C47, Inventory_data!$A$1:$G$86, 5, True)</f>
        <v>1.79</v>
      </c>
    </row>
    <row r="48" ht="14.25" customHeight="1">
      <c r="A48" s="4">
        <v>21.0</v>
      </c>
      <c r="B48" s="5">
        <v>42374.39524305556</v>
      </c>
      <c r="C48" s="4">
        <v>41.0</v>
      </c>
      <c r="D48" s="4" t="str">
        <f>VLOOKUP(C48,inventory,3,true)</f>
        <v>frozen</v>
      </c>
      <c r="E48" s="4">
        <f>IFERROR(__xludf.DUMMYFUNCTION("""COMPUTED_VALUE"""),53.0)</f>
        <v>53</v>
      </c>
      <c r="F48" s="4">
        <f t="shared" si="1"/>
        <v>4</v>
      </c>
      <c r="K48" s="4">
        <f>VLOOKUP(C48, Inventory_data!$A$1:$G$86, 5, True)</f>
        <v>1.09</v>
      </c>
    </row>
    <row r="49" ht="14.25" customHeight="1">
      <c r="A49" s="4">
        <v>22.0</v>
      </c>
      <c r="B49" s="5">
        <v>42375.60425925926</v>
      </c>
      <c r="C49" s="4">
        <v>14.0</v>
      </c>
      <c r="D49" s="4" t="str">
        <f>VLOOKUP(C49,inventory,3,true)</f>
        <v>snacks</v>
      </c>
      <c r="E49" s="4">
        <f>IFERROR(__xludf.DUMMYFUNCTION("""COMPUTED_VALUE"""),54.0)</f>
        <v>54</v>
      </c>
      <c r="F49" s="4">
        <f t="shared" si="1"/>
        <v>2</v>
      </c>
      <c r="K49" s="4">
        <f>VLOOKUP(C49, Inventory_data!$A$1:$G$86, 5, True)</f>
        <v>0.53</v>
      </c>
    </row>
    <row r="50" ht="14.25" customHeight="1">
      <c r="A50" s="4">
        <v>22.0</v>
      </c>
      <c r="B50" s="5">
        <v>42375.60425925926</v>
      </c>
      <c r="C50" s="4">
        <v>27.0</v>
      </c>
      <c r="D50" s="4" t="str">
        <f>VLOOKUP(C50,inventory,3,true)</f>
        <v>other</v>
      </c>
      <c r="E50" s="4">
        <f>IFERROR(__xludf.DUMMYFUNCTION("""COMPUTED_VALUE"""),55.0)</f>
        <v>55</v>
      </c>
      <c r="F50" s="4">
        <f t="shared" si="1"/>
        <v>2</v>
      </c>
      <c r="K50" s="4">
        <f>VLOOKUP(C50, Inventory_data!$A$1:$G$86, 5, True)</f>
        <v>6</v>
      </c>
    </row>
    <row r="51" ht="14.25" customHeight="1">
      <c r="A51" s="4">
        <v>23.0</v>
      </c>
      <c r="B51" s="5">
        <v>42376.37630787037</v>
      </c>
      <c r="C51" s="4">
        <v>67.0</v>
      </c>
      <c r="D51" s="4" t="str">
        <f>VLOOKUP(C51,inventory,3,true)</f>
        <v>dry_goods</v>
      </c>
      <c r="E51" s="4">
        <f>IFERROR(__xludf.DUMMYFUNCTION("""COMPUTED_VALUE"""),56.0)</f>
        <v>56</v>
      </c>
      <c r="F51" s="4">
        <f t="shared" si="1"/>
        <v>2</v>
      </c>
      <c r="K51" s="4">
        <f>VLOOKUP(C51, Inventory_data!$A$1:$G$86, 5, True)</f>
        <v>1.74</v>
      </c>
    </row>
    <row r="52" ht="14.25" customHeight="1">
      <c r="A52" s="4">
        <v>23.0</v>
      </c>
      <c r="B52" s="5">
        <v>42376.37630787037</v>
      </c>
      <c r="C52" s="4">
        <v>13.0</v>
      </c>
      <c r="D52" s="4" t="str">
        <f>VLOOKUP(C52,inventory,3,true)</f>
        <v>beverages</v>
      </c>
      <c r="E52" s="4">
        <f>IFERROR(__xludf.DUMMYFUNCTION("""COMPUTED_VALUE"""),57.0)</f>
        <v>57</v>
      </c>
      <c r="F52" s="4">
        <f t="shared" si="1"/>
        <v>3</v>
      </c>
      <c r="K52" s="4">
        <f>VLOOKUP(C52, Inventory_data!$A$1:$G$86, 5, True)</f>
        <v>0.38</v>
      </c>
    </row>
    <row r="53" ht="14.25" customHeight="1">
      <c r="A53" s="4">
        <v>23.0</v>
      </c>
      <c r="B53" s="5">
        <v>42376.37630787037</v>
      </c>
      <c r="C53" s="4">
        <v>55.0</v>
      </c>
      <c r="D53" s="4" t="str">
        <f>VLOOKUP(C53,inventory,3,true)</f>
        <v>dairy</v>
      </c>
      <c r="E53" s="4">
        <f>IFERROR(__xludf.DUMMYFUNCTION("""COMPUTED_VALUE"""),58.0)</f>
        <v>58</v>
      </c>
      <c r="F53" s="4">
        <f t="shared" si="1"/>
        <v>4</v>
      </c>
      <c r="K53" s="4">
        <f>VLOOKUP(C53, Inventory_data!$A$1:$G$86, 5, True)</f>
        <v>1.1</v>
      </c>
    </row>
    <row r="54" ht="14.25" customHeight="1">
      <c r="A54" s="4">
        <v>23.0</v>
      </c>
      <c r="B54" s="5">
        <v>42376.37630787037</v>
      </c>
      <c r="C54" s="4">
        <v>69.0</v>
      </c>
      <c r="D54" s="4" t="str">
        <f>VLOOKUP(C54,inventory,3,true)</f>
        <v>dry_goods</v>
      </c>
      <c r="E54" s="4">
        <f>IFERROR(__xludf.DUMMYFUNCTION("""COMPUTED_VALUE"""),59.0)</f>
        <v>59</v>
      </c>
      <c r="F54" s="4">
        <f t="shared" si="1"/>
        <v>1</v>
      </c>
      <c r="K54" s="4">
        <f>VLOOKUP(C54, Inventory_data!$A$1:$G$86, 5, True)</f>
        <v>0.27</v>
      </c>
    </row>
    <row r="55" ht="14.25" customHeight="1">
      <c r="A55" s="4">
        <v>24.0</v>
      </c>
      <c r="B55" s="5">
        <v>42372.44981481481</v>
      </c>
      <c r="C55" s="4">
        <v>54.0</v>
      </c>
      <c r="D55" s="4" t="str">
        <f>VLOOKUP(C55,inventory,3,true)</f>
        <v>dairy</v>
      </c>
      <c r="E55" s="4">
        <f>IFERROR(__xludf.DUMMYFUNCTION("""COMPUTED_VALUE"""),60.0)</f>
        <v>60</v>
      </c>
      <c r="F55" s="4">
        <f t="shared" si="1"/>
        <v>3</v>
      </c>
      <c r="K55" s="4">
        <f>VLOOKUP(C55, Inventory_data!$A$1:$G$86, 5, True)</f>
        <v>1.23</v>
      </c>
    </row>
    <row r="56" ht="14.25" customHeight="1">
      <c r="A56" s="4">
        <v>24.0</v>
      </c>
      <c r="B56" s="5">
        <v>42372.44981481481</v>
      </c>
      <c r="C56" s="4">
        <v>3.0</v>
      </c>
      <c r="D56" s="4" t="str">
        <f>VLOOKUP(C56,inventory,3,true)</f>
        <v>produce</v>
      </c>
      <c r="E56" s="4">
        <f>IFERROR(__xludf.DUMMYFUNCTION("""COMPUTED_VALUE"""),61.0)</f>
        <v>61</v>
      </c>
      <c r="F56" s="4">
        <f t="shared" si="1"/>
        <v>4</v>
      </c>
      <c r="K56" s="4">
        <f>VLOOKUP(C56, Inventory_data!$A$1:$G$86, 5, True)</f>
        <v>1.02</v>
      </c>
    </row>
    <row r="57" ht="14.25" customHeight="1">
      <c r="A57" s="4">
        <v>25.0</v>
      </c>
      <c r="B57" s="5">
        <v>42375.79503472222</v>
      </c>
      <c r="C57" s="4">
        <v>83.0</v>
      </c>
      <c r="D57" s="4" t="str">
        <f>VLOOKUP(C57,inventory,3,true)</f>
        <v>snacks</v>
      </c>
      <c r="E57" s="4">
        <f>IFERROR(__xludf.DUMMYFUNCTION("""COMPUTED_VALUE"""),62.0)</f>
        <v>62</v>
      </c>
      <c r="F57" s="4">
        <f t="shared" si="1"/>
        <v>1</v>
      </c>
      <c r="K57" s="4">
        <f>VLOOKUP(C57, Inventory_data!$A$1:$G$86, 5, True)</f>
        <v>0.39</v>
      </c>
    </row>
    <row r="58" ht="14.25" customHeight="1">
      <c r="A58" s="4">
        <v>26.0</v>
      </c>
      <c r="B58" s="5">
        <v>42375.36282407407</v>
      </c>
      <c r="C58" s="4">
        <v>26.0</v>
      </c>
      <c r="D58" s="4" t="str">
        <f>VLOOKUP(C58,inventory,3,true)</f>
        <v>beverages</v>
      </c>
      <c r="E58" s="4">
        <f>IFERROR(__xludf.DUMMYFUNCTION("""COMPUTED_VALUE"""),63.0)</f>
        <v>63</v>
      </c>
      <c r="F58" s="4">
        <f t="shared" si="1"/>
        <v>1</v>
      </c>
      <c r="K58" s="4">
        <f>VLOOKUP(C58, Inventory_data!$A$1:$G$86, 5, True)</f>
        <v>0.25</v>
      </c>
    </row>
    <row r="59" ht="14.25" customHeight="1">
      <c r="A59" s="4">
        <v>26.0</v>
      </c>
      <c r="B59" s="5">
        <v>42375.36282407407</v>
      </c>
      <c r="C59" s="4">
        <v>22.0</v>
      </c>
      <c r="D59" s="4" t="str">
        <f>VLOOKUP(C59,inventory,3,true)</f>
        <v>meat</v>
      </c>
      <c r="E59" s="4">
        <f>IFERROR(__xludf.DUMMYFUNCTION("""COMPUTED_VALUE"""),64.0)</f>
        <v>64</v>
      </c>
      <c r="F59" s="4">
        <f t="shared" si="1"/>
        <v>3</v>
      </c>
      <c r="K59" s="4">
        <f>VLOOKUP(C59, Inventory_data!$A$1:$G$86, 5, True)</f>
        <v>19.59</v>
      </c>
    </row>
    <row r="60" ht="14.25" customHeight="1">
      <c r="A60" s="4">
        <v>26.0</v>
      </c>
      <c r="B60" s="5">
        <v>42375.36282407407</v>
      </c>
      <c r="C60" s="4">
        <v>5.0</v>
      </c>
      <c r="D60" s="4" t="str">
        <f>VLOOKUP(C60,inventory,3,true)</f>
        <v>produce</v>
      </c>
      <c r="E60" s="4">
        <f>IFERROR(__xludf.DUMMYFUNCTION("""COMPUTED_VALUE"""),65.0)</f>
        <v>65</v>
      </c>
      <c r="F60" s="4">
        <f t="shared" si="1"/>
        <v>3</v>
      </c>
      <c r="K60" s="4">
        <f>VLOOKUP(C60, Inventory_data!$A$1:$G$86, 5, True)</f>
        <v>3.86</v>
      </c>
    </row>
    <row r="61" ht="14.25" customHeight="1">
      <c r="A61" s="4">
        <v>26.0</v>
      </c>
      <c r="B61" s="5">
        <v>42375.36282407407</v>
      </c>
      <c r="C61" s="4">
        <v>32.0</v>
      </c>
      <c r="D61" s="4" t="str">
        <f>VLOOKUP(C61,inventory,3,true)</f>
        <v>produce</v>
      </c>
      <c r="E61" s="4">
        <f>IFERROR(__xludf.DUMMYFUNCTION("""COMPUTED_VALUE"""),66.0)</f>
        <v>66</v>
      </c>
      <c r="F61" s="4">
        <f t="shared" si="1"/>
        <v>1</v>
      </c>
      <c r="K61" s="4">
        <f>VLOOKUP(C61, Inventory_data!$A$1:$G$86, 5, True)</f>
        <v>2.99</v>
      </c>
    </row>
    <row r="62" ht="14.25" customHeight="1">
      <c r="A62" s="4">
        <v>26.0</v>
      </c>
      <c r="B62" s="5">
        <v>42375.36282407407</v>
      </c>
      <c r="C62" s="4">
        <v>47.0</v>
      </c>
      <c r="D62" s="4" t="str">
        <f>VLOOKUP(C62,inventory,3,true)</f>
        <v>dairy</v>
      </c>
      <c r="E62" s="4">
        <f>IFERROR(__xludf.DUMMYFUNCTION("""COMPUTED_VALUE"""),67.0)</f>
        <v>67</v>
      </c>
      <c r="F62" s="4">
        <f t="shared" si="1"/>
        <v>3</v>
      </c>
      <c r="K62" s="4">
        <f>VLOOKUP(C62, Inventory_data!$A$1:$G$86, 5, True)</f>
        <v>1.17</v>
      </c>
    </row>
    <row r="63" ht="14.25" customHeight="1">
      <c r="A63" s="4">
        <v>27.0</v>
      </c>
      <c r="B63" s="5">
        <v>42376.74381944445</v>
      </c>
      <c r="C63" s="4">
        <v>51.0</v>
      </c>
      <c r="D63" s="4" t="str">
        <f>VLOOKUP(C63,inventory,3,true)</f>
        <v>dairy</v>
      </c>
      <c r="E63" s="4">
        <f>IFERROR(__xludf.DUMMYFUNCTION("""COMPUTED_VALUE"""),68.0)</f>
        <v>68</v>
      </c>
      <c r="F63" s="4">
        <f t="shared" si="1"/>
        <v>1</v>
      </c>
      <c r="K63" s="4">
        <f>VLOOKUP(C63, Inventory_data!$A$1:$G$86, 5, True)</f>
        <v>0.89</v>
      </c>
    </row>
    <row r="64" ht="14.25" customHeight="1">
      <c r="A64" s="4">
        <v>27.0</v>
      </c>
      <c r="B64" s="5">
        <v>42376.74381944445</v>
      </c>
      <c r="C64" s="4">
        <v>40.0</v>
      </c>
      <c r="D64" s="4" t="str">
        <f>VLOOKUP(C64,inventory,3,true)</f>
        <v>frozen</v>
      </c>
      <c r="E64" s="4">
        <f>IFERROR(__xludf.DUMMYFUNCTION("""COMPUTED_VALUE"""),69.0)</f>
        <v>69</v>
      </c>
      <c r="F64" s="4">
        <f t="shared" si="1"/>
        <v>4</v>
      </c>
      <c r="K64" s="4">
        <f>VLOOKUP(C64, Inventory_data!$A$1:$G$86, 5, True)</f>
        <v>1.17</v>
      </c>
    </row>
    <row r="65" ht="14.25" customHeight="1">
      <c r="A65" s="4">
        <v>27.0</v>
      </c>
      <c r="B65" s="5">
        <v>42376.74381944445</v>
      </c>
      <c r="C65" s="4">
        <v>48.0</v>
      </c>
      <c r="D65" s="4" t="str">
        <f>VLOOKUP(C65,inventory,3,true)</f>
        <v>dry_goods</v>
      </c>
      <c r="E65" s="4">
        <f>IFERROR(__xludf.DUMMYFUNCTION("""COMPUTED_VALUE"""),70.0)</f>
        <v>70</v>
      </c>
      <c r="F65" s="4">
        <f t="shared" si="1"/>
        <v>3</v>
      </c>
      <c r="K65" s="4">
        <f>VLOOKUP(C65, Inventory_data!$A$1:$G$86, 5, True)</f>
        <v>0.89</v>
      </c>
    </row>
    <row r="66" ht="14.25" customHeight="1">
      <c r="A66" s="4">
        <v>29.0</v>
      </c>
      <c r="B66" s="5">
        <v>42376.51814814815</v>
      </c>
      <c r="C66" s="4">
        <v>28.0</v>
      </c>
      <c r="D66" s="4" t="str">
        <f>VLOOKUP(C66,inventory,3,true)</f>
        <v>dry_goods</v>
      </c>
      <c r="E66" s="4">
        <f>IFERROR(__xludf.DUMMYFUNCTION("""COMPUTED_VALUE"""),71.0)</f>
        <v>71</v>
      </c>
      <c r="F66" s="4">
        <f t="shared" si="1"/>
        <v>1</v>
      </c>
      <c r="K66" s="4">
        <f>VLOOKUP(C66, Inventory_data!$A$1:$G$86, 5, True)</f>
        <v>0.69</v>
      </c>
    </row>
    <row r="67" ht="14.25" customHeight="1">
      <c r="A67" s="4">
        <v>30.0</v>
      </c>
      <c r="B67" s="5">
        <v>42374.57980324074</v>
      </c>
      <c r="C67" s="4">
        <v>68.0</v>
      </c>
      <c r="D67" s="4" t="str">
        <f>VLOOKUP(C67,inventory,3,true)</f>
        <v>produce</v>
      </c>
      <c r="E67" s="4">
        <f>IFERROR(__xludf.DUMMYFUNCTION("""COMPUTED_VALUE"""),72.0)</f>
        <v>72</v>
      </c>
      <c r="F67" s="4">
        <f t="shared" si="1"/>
        <v>4</v>
      </c>
      <c r="K67" s="4">
        <f>VLOOKUP(C67, Inventory_data!$A$1:$G$86, 5, True)</f>
        <v>0.67</v>
      </c>
    </row>
    <row r="68" ht="14.25" customHeight="1">
      <c r="A68" s="4">
        <v>31.0</v>
      </c>
      <c r="B68" s="5">
        <v>42374.55515046296</v>
      </c>
      <c r="C68" s="4">
        <v>3.0</v>
      </c>
      <c r="D68" s="4" t="str">
        <f>VLOOKUP(C68,inventory,3,true)</f>
        <v>produce</v>
      </c>
      <c r="E68" s="4">
        <f>IFERROR(__xludf.DUMMYFUNCTION("""COMPUTED_VALUE"""),73.0)</f>
        <v>73</v>
      </c>
      <c r="F68" s="4">
        <f t="shared" si="1"/>
        <v>3</v>
      </c>
      <c r="K68" s="4">
        <f>VLOOKUP(C68, Inventory_data!$A$1:$G$86, 5, True)</f>
        <v>1.02</v>
      </c>
    </row>
    <row r="69" ht="14.25" customHeight="1">
      <c r="A69" s="4">
        <v>32.0</v>
      </c>
      <c r="B69" s="5">
        <v>42373.81752314815</v>
      </c>
      <c r="C69" s="4">
        <v>65.0</v>
      </c>
      <c r="D69" s="4" t="str">
        <f>VLOOKUP(C69,inventory,3,true)</f>
        <v>produce</v>
      </c>
      <c r="E69" s="4">
        <f>IFERROR(__xludf.DUMMYFUNCTION("""COMPUTED_VALUE"""),74.0)</f>
        <v>74</v>
      </c>
      <c r="F69" s="4">
        <f t="shared" si="1"/>
        <v>2</v>
      </c>
      <c r="K69" s="4">
        <f>VLOOKUP(C69, Inventory_data!$A$1:$G$86, 5, True)</f>
        <v>1.32</v>
      </c>
    </row>
    <row r="70" ht="14.25" customHeight="1">
      <c r="A70" s="4">
        <v>32.0</v>
      </c>
      <c r="B70" s="5">
        <v>42373.81752314815</v>
      </c>
      <c r="C70" s="4">
        <v>7.0</v>
      </c>
      <c r="D70" s="4" t="str">
        <f>VLOOKUP(C70,inventory,3,true)</f>
        <v>produce</v>
      </c>
      <c r="E70" s="4">
        <f>IFERROR(__xludf.DUMMYFUNCTION("""COMPUTED_VALUE"""),75.0)</f>
        <v>75</v>
      </c>
      <c r="F70" s="4">
        <f t="shared" si="1"/>
        <v>2</v>
      </c>
      <c r="K70" s="4">
        <f>VLOOKUP(C70, Inventory_data!$A$1:$G$86, 5, True)</f>
        <v>2.54</v>
      </c>
    </row>
    <row r="71" ht="14.25" customHeight="1">
      <c r="A71" s="4">
        <v>32.0</v>
      </c>
      <c r="B71" s="5">
        <v>42373.81752314815</v>
      </c>
      <c r="C71" s="4">
        <v>67.0</v>
      </c>
      <c r="D71" s="4" t="str">
        <f>VLOOKUP(C71,inventory,3,true)</f>
        <v>dry_goods</v>
      </c>
      <c r="E71" s="4">
        <f>IFERROR(__xludf.DUMMYFUNCTION("""COMPUTED_VALUE"""),76.0)</f>
        <v>76</v>
      </c>
      <c r="F71" s="4">
        <f t="shared" si="1"/>
        <v>2</v>
      </c>
      <c r="K71" s="4">
        <f>VLOOKUP(C71, Inventory_data!$A$1:$G$86, 5, True)</f>
        <v>1.74</v>
      </c>
    </row>
    <row r="72" ht="14.25" customHeight="1">
      <c r="A72" s="4">
        <v>32.0</v>
      </c>
      <c r="B72" s="5">
        <v>42373.81752314815</v>
      </c>
      <c r="C72" s="4">
        <v>7.0</v>
      </c>
      <c r="D72" s="4" t="str">
        <f>VLOOKUP(C72,inventory,3,true)</f>
        <v>produce</v>
      </c>
      <c r="E72" s="4">
        <f>IFERROR(__xludf.DUMMYFUNCTION("""COMPUTED_VALUE"""),77.0)</f>
        <v>77</v>
      </c>
      <c r="F72" s="4">
        <f t="shared" si="1"/>
        <v>1</v>
      </c>
      <c r="K72" s="4">
        <f>VLOOKUP(C72, Inventory_data!$A$1:$G$86, 5, True)</f>
        <v>2.54</v>
      </c>
    </row>
    <row r="73" ht="14.25" customHeight="1">
      <c r="A73" s="4">
        <v>32.0</v>
      </c>
      <c r="B73" s="5">
        <v>42373.81752314815</v>
      </c>
      <c r="C73" s="4">
        <v>3.0</v>
      </c>
      <c r="D73" s="4" t="str">
        <f>VLOOKUP(C73,inventory,3,true)</f>
        <v>produce</v>
      </c>
      <c r="E73" s="4">
        <f>IFERROR(__xludf.DUMMYFUNCTION("""COMPUTED_VALUE"""),78.0)</f>
        <v>78</v>
      </c>
      <c r="F73" s="4">
        <f t="shared" si="1"/>
        <v>4</v>
      </c>
      <c r="K73" s="4">
        <f>VLOOKUP(C73, Inventory_data!$A$1:$G$86, 5, True)</f>
        <v>1.02</v>
      </c>
    </row>
    <row r="74" ht="14.25" customHeight="1">
      <c r="A74" s="4">
        <v>33.0</v>
      </c>
      <c r="B74" s="5">
        <v>42372.46592592593</v>
      </c>
      <c r="C74" s="4">
        <v>72.0</v>
      </c>
      <c r="D74" s="4" t="str">
        <f>VLOOKUP(C74,inventory,3,true)</f>
        <v>dry_goods</v>
      </c>
      <c r="E74" s="4">
        <f>IFERROR(__xludf.DUMMYFUNCTION("""COMPUTED_VALUE"""),79.0)</f>
        <v>79</v>
      </c>
      <c r="F74" s="4">
        <f t="shared" si="1"/>
        <v>3</v>
      </c>
      <c r="K74" s="4">
        <f>VLOOKUP(C74, Inventory_data!$A$1:$G$86, 5, True)</f>
        <v>0.27</v>
      </c>
    </row>
    <row r="75" ht="14.25" customHeight="1">
      <c r="A75" s="4">
        <v>34.0</v>
      </c>
      <c r="B75" s="5">
        <v>42377.52575231482</v>
      </c>
      <c r="C75" s="4">
        <v>84.0</v>
      </c>
      <c r="D75" s="4" t="str">
        <f>VLOOKUP(C75,inventory,3,true)</f>
        <v>dry_goods</v>
      </c>
      <c r="E75" s="4">
        <f>IFERROR(__xludf.DUMMYFUNCTION("""COMPUTED_VALUE"""),81.0)</f>
        <v>81</v>
      </c>
      <c r="F75" s="4">
        <f t="shared" si="1"/>
        <v>1</v>
      </c>
      <c r="K75" s="4">
        <f>VLOOKUP(C75, Inventory_data!$A$1:$G$86, 5, True)</f>
        <v>2.59</v>
      </c>
    </row>
    <row r="76" ht="14.25" customHeight="1">
      <c r="A76" s="4">
        <v>35.0</v>
      </c>
      <c r="B76" s="5">
        <v>42374.67256944445</v>
      </c>
      <c r="C76" s="4">
        <v>65.0</v>
      </c>
      <c r="D76" s="4" t="str">
        <f>VLOOKUP(C76,inventory,3,true)</f>
        <v>produce</v>
      </c>
      <c r="E76" s="4">
        <f>IFERROR(__xludf.DUMMYFUNCTION("""COMPUTED_VALUE"""),82.0)</f>
        <v>82</v>
      </c>
      <c r="F76" s="4">
        <f t="shared" si="1"/>
        <v>4</v>
      </c>
      <c r="K76" s="4">
        <f>VLOOKUP(C76, Inventory_data!$A$1:$G$86, 5, True)</f>
        <v>1.32</v>
      </c>
    </row>
    <row r="77" ht="14.25" customHeight="1">
      <c r="A77" s="4">
        <v>35.0</v>
      </c>
      <c r="B77" s="5">
        <v>42374.67256944445</v>
      </c>
      <c r="C77" s="4">
        <v>14.0</v>
      </c>
      <c r="D77" s="4" t="str">
        <f>VLOOKUP(C77,inventory,3,true)</f>
        <v>snacks</v>
      </c>
      <c r="E77" s="4">
        <f>IFERROR(__xludf.DUMMYFUNCTION("""COMPUTED_VALUE"""),83.0)</f>
        <v>83</v>
      </c>
      <c r="F77" s="4">
        <f t="shared" si="1"/>
        <v>1</v>
      </c>
      <c r="K77" s="4">
        <f>VLOOKUP(C77, Inventory_data!$A$1:$G$86, 5, True)</f>
        <v>0.53</v>
      </c>
    </row>
    <row r="78" ht="14.25" customHeight="1">
      <c r="A78" s="4">
        <v>35.0</v>
      </c>
      <c r="B78" s="5">
        <v>42374.67256944445</v>
      </c>
      <c r="C78" s="4">
        <v>44.0</v>
      </c>
      <c r="D78" s="4" t="str">
        <f>VLOOKUP(C78,inventory,3,true)</f>
        <v>frozen</v>
      </c>
      <c r="E78" s="4">
        <f>IFERROR(__xludf.DUMMYFUNCTION("""COMPUTED_VALUE"""),84.0)</f>
        <v>84</v>
      </c>
      <c r="F78" s="4">
        <f t="shared" si="1"/>
        <v>2</v>
      </c>
      <c r="K78" s="4">
        <f>VLOOKUP(C78, Inventory_data!$A$1:$G$86, 5, True)</f>
        <v>4.99</v>
      </c>
    </row>
    <row r="79" ht="14.25" customHeight="1">
      <c r="A79" s="4">
        <v>36.0</v>
      </c>
      <c r="B79" s="5">
        <v>42376.674421296295</v>
      </c>
      <c r="C79" s="4">
        <v>59.0</v>
      </c>
      <c r="D79" s="4" t="str">
        <f>VLOOKUP(C79,inventory,3,true)</f>
        <v>produce</v>
      </c>
      <c r="E79" s="4">
        <f>IFERROR(__xludf.DUMMYFUNCTION("""COMPUTED_VALUE"""),85.0)</f>
        <v>85</v>
      </c>
      <c r="F79" s="4">
        <f t="shared" si="1"/>
        <v>2</v>
      </c>
      <c r="K79" s="4">
        <f>VLOOKUP(C79, Inventory_data!$A$1:$G$86, 5, True)</f>
        <v>4.29</v>
      </c>
    </row>
    <row r="80" ht="14.25" customHeight="1">
      <c r="A80" s="4">
        <v>36.0</v>
      </c>
      <c r="B80" s="5">
        <v>42376.674421296295</v>
      </c>
      <c r="C80" s="4">
        <v>63.0</v>
      </c>
      <c r="D80" s="4" t="str">
        <f>VLOOKUP(C80,inventory,3,true)</f>
        <v>produce</v>
      </c>
      <c r="E80" s="4">
        <f>IFERROR(__xludf.DUMMYFUNCTION("""COMPUTED_VALUE"""),86.0)</f>
        <v>86</v>
      </c>
      <c r="F80" s="4">
        <f t="shared" si="1"/>
        <v>4</v>
      </c>
      <c r="K80" s="4">
        <f>VLOOKUP(C80, Inventory_data!$A$1:$G$86, 5, True)</f>
        <v>3.57</v>
      </c>
    </row>
    <row r="81" ht="14.25" customHeight="1">
      <c r="A81" s="4">
        <v>37.0</v>
      </c>
      <c r="B81" s="5">
        <v>42375.646944444445</v>
      </c>
      <c r="C81" s="4">
        <v>52.0</v>
      </c>
      <c r="D81" s="4" t="str">
        <f>VLOOKUP(C81,inventory,3,true)</f>
        <v>dairy</v>
      </c>
      <c r="E81" s="4">
        <f>IFERROR(__xludf.DUMMYFUNCTION("""COMPUTED_VALUE"""),87.0)</f>
        <v>87</v>
      </c>
      <c r="F81" s="4">
        <f t="shared" si="1"/>
        <v>2</v>
      </c>
      <c r="K81" s="4">
        <f>VLOOKUP(C81, Inventory_data!$A$1:$G$86, 5, True)</f>
        <v>1.79</v>
      </c>
    </row>
    <row r="82" ht="14.25" customHeight="1">
      <c r="A82" s="4">
        <v>37.0</v>
      </c>
      <c r="B82" s="5">
        <v>42375.646944444445</v>
      </c>
      <c r="C82" s="4">
        <v>19.0</v>
      </c>
      <c r="D82" s="4" t="str">
        <f>VLOOKUP(C82,inventory,3,true)</f>
        <v>snacks</v>
      </c>
      <c r="E82" s="4">
        <f>IFERROR(__xludf.DUMMYFUNCTION("""COMPUTED_VALUE"""),88.0)</f>
        <v>88</v>
      </c>
      <c r="F82" s="4">
        <f t="shared" si="1"/>
        <v>5</v>
      </c>
      <c r="K82" s="4">
        <f>VLOOKUP(C82, Inventory_data!$A$1:$G$86, 5, True)</f>
        <v>0.41</v>
      </c>
    </row>
    <row r="83" ht="14.25" customHeight="1">
      <c r="A83" s="4">
        <v>37.0</v>
      </c>
      <c r="B83" s="5">
        <v>42375.646944444445</v>
      </c>
      <c r="C83" s="4">
        <v>8.0</v>
      </c>
      <c r="D83" s="4" t="str">
        <f>VLOOKUP(C83,inventory,3,true)</f>
        <v>produce</v>
      </c>
      <c r="E83" s="4">
        <f>IFERROR(__xludf.DUMMYFUNCTION("""COMPUTED_VALUE"""),89.0)</f>
        <v>89</v>
      </c>
      <c r="F83" s="4">
        <f t="shared" si="1"/>
        <v>1</v>
      </c>
      <c r="K83" s="4">
        <f>VLOOKUP(C83, Inventory_data!$A$1:$G$86, 5, True)</f>
        <v>3.99</v>
      </c>
    </row>
    <row r="84" ht="14.25" customHeight="1">
      <c r="A84" s="4">
        <v>38.0</v>
      </c>
      <c r="B84" s="5">
        <v>42375.55553240741</v>
      </c>
      <c r="C84" s="4">
        <v>69.0</v>
      </c>
      <c r="D84" s="4" t="str">
        <f>VLOOKUP(C84,inventory,3,true)</f>
        <v>dry_goods</v>
      </c>
      <c r="E84" s="4">
        <f>IFERROR(__xludf.DUMMYFUNCTION("""COMPUTED_VALUE"""),90.0)</f>
        <v>90</v>
      </c>
      <c r="F84" s="4">
        <f t="shared" si="1"/>
        <v>2</v>
      </c>
      <c r="K84" s="4">
        <f>VLOOKUP(C84, Inventory_data!$A$1:$G$86, 5, True)</f>
        <v>0.27</v>
      </c>
    </row>
    <row r="85" ht="14.25" customHeight="1">
      <c r="A85" s="4">
        <v>39.0</v>
      </c>
      <c r="B85" s="5">
        <v>42377.699375</v>
      </c>
      <c r="C85" s="4">
        <v>66.0</v>
      </c>
      <c r="D85" s="4" t="str">
        <f>VLOOKUP(C85,inventory,3,true)</f>
        <v>produce</v>
      </c>
      <c r="E85" s="4">
        <f>IFERROR(__xludf.DUMMYFUNCTION("""COMPUTED_VALUE"""),91.0)</f>
        <v>91</v>
      </c>
      <c r="F85" s="4">
        <f t="shared" si="1"/>
        <v>4</v>
      </c>
      <c r="K85" s="4">
        <f>VLOOKUP(C85, Inventory_data!$A$1:$G$86, 5, True)</f>
        <v>1.12</v>
      </c>
    </row>
    <row r="86" ht="14.25" customHeight="1">
      <c r="A86" s="4">
        <v>39.0</v>
      </c>
      <c r="B86" s="5">
        <v>42377.699375</v>
      </c>
      <c r="C86" s="4">
        <v>24.0</v>
      </c>
      <c r="D86" s="4" t="str">
        <f>VLOOKUP(C86,inventory,3,true)</f>
        <v>dry_goods</v>
      </c>
      <c r="E86" s="4">
        <f>IFERROR(__xludf.DUMMYFUNCTION("""COMPUTED_VALUE"""),92.0)</f>
        <v>92</v>
      </c>
      <c r="F86" s="4">
        <f t="shared" si="1"/>
        <v>1</v>
      </c>
      <c r="K86" s="4">
        <f>VLOOKUP(C86, Inventory_data!$A$1:$G$86, 5, True)</f>
        <v>0.56</v>
      </c>
    </row>
    <row r="87" ht="14.25" customHeight="1">
      <c r="A87" s="4">
        <v>40.0</v>
      </c>
      <c r="B87" s="5">
        <v>42372.44909722222</v>
      </c>
      <c r="C87" s="4">
        <v>7.0</v>
      </c>
      <c r="D87" s="4" t="str">
        <f>VLOOKUP(C87,inventory,3,true)</f>
        <v>produce</v>
      </c>
      <c r="E87" s="4">
        <f>IFERROR(__xludf.DUMMYFUNCTION("""COMPUTED_VALUE"""),93.0)</f>
        <v>93</v>
      </c>
      <c r="F87" s="4">
        <f t="shared" si="1"/>
        <v>3</v>
      </c>
      <c r="K87" s="4">
        <f>VLOOKUP(C87, Inventory_data!$A$1:$G$86, 5, True)</f>
        <v>2.54</v>
      </c>
    </row>
    <row r="88" ht="14.25" customHeight="1">
      <c r="A88" s="4">
        <v>40.0</v>
      </c>
      <c r="B88" s="5">
        <v>42372.44909722222</v>
      </c>
      <c r="C88" s="4">
        <v>1.0</v>
      </c>
      <c r="D88" s="4" t="str">
        <f>VLOOKUP(C88,inventory,3,true)</f>
        <v>produce</v>
      </c>
      <c r="E88" s="4">
        <f>IFERROR(__xludf.DUMMYFUNCTION("""COMPUTED_VALUE"""),94.0)</f>
        <v>94</v>
      </c>
      <c r="F88" s="4">
        <f t="shared" si="1"/>
        <v>2</v>
      </c>
      <c r="K88" s="4">
        <f>VLOOKUP(C88, Inventory_data!$A$1:$G$86, 5, True)</f>
        <v>3.28</v>
      </c>
    </row>
    <row r="89" ht="14.25" customHeight="1">
      <c r="A89" s="4">
        <v>40.0</v>
      </c>
      <c r="B89" s="5">
        <v>42372.44909722222</v>
      </c>
      <c r="C89" s="4">
        <v>17.0</v>
      </c>
      <c r="D89" s="4" t="str">
        <f>VLOOKUP(C89,inventory,3,true)</f>
        <v>other</v>
      </c>
      <c r="E89" s="4">
        <f>IFERROR(__xludf.DUMMYFUNCTION("""COMPUTED_VALUE"""),95.0)</f>
        <v>95</v>
      </c>
      <c r="F89" s="4">
        <f t="shared" si="1"/>
        <v>1</v>
      </c>
      <c r="K89" s="4">
        <f>VLOOKUP(C89, Inventory_data!$A$1:$G$86, 5, True)</f>
        <v>2.67</v>
      </c>
    </row>
    <row r="90" ht="14.25" customHeight="1">
      <c r="A90" s="4">
        <v>41.0</v>
      </c>
      <c r="B90" s="5">
        <v>42374.61754629629</v>
      </c>
      <c r="C90" s="4">
        <v>52.0</v>
      </c>
      <c r="D90" s="4" t="str">
        <f>VLOOKUP(C90,inventory,3,true)</f>
        <v>dairy</v>
      </c>
      <c r="E90" s="4">
        <f>IFERROR(__xludf.DUMMYFUNCTION("""COMPUTED_VALUE"""),96.0)</f>
        <v>96</v>
      </c>
      <c r="F90" s="4">
        <f t="shared" si="1"/>
        <v>1</v>
      </c>
      <c r="K90" s="4">
        <f>VLOOKUP(C90, Inventory_data!$A$1:$G$86, 5, True)</f>
        <v>1.79</v>
      </c>
    </row>
    <row r="91" ht="14.25" customHeight="1">
      <c r="A91" s="4">
        <v>41.0</v>
      </c>
      <c r="B91" s="5">
        <v>42374.61754629629</v>
      </c>
      <c r="C91" s="4">
        <v>61.0</v>
      </c>
      <c r="D91" s="4" t="str">
        <f>VLOOKUP(C91,inventory,3,true)</f>
        <v>produce</v>
      </c>
      <c r="E91" s="4">
        <f>IFERROR(__xludf.DUMMYFUNCTION("""COMPUTED_VALUE"""),97.0)</f>
        <v>97</v>
      </c>
      <c r="F91" s="4">
        <f t="shared" si="1"/>
        <v>4</v>
      </c>
      <c r="K91" s="4">
        <f>VLOOKUP(C91, Inventory_data!$A$1:$G$86, 5, True)</f>
        <v>0.55</v>
      </c>
    </row>
    <row r="92" ht="14.25" customHeight="1">
      <c r="A92" s="4">
        <v>41.0</v>
      </c>
      <c r="B92" s="5">
        <v>42374.61754629629</v>
      </c>
      <c r="C92" s="4">
        <v>62.0</v>
      </c>
      <c r="D92" s="4" t="str">
        <f>VLOOKUP(C92,inventory,3,true)</f>
        <v>dry_goods</v>
      </c>
      <c r="E92" s="4">
        <f>IFERROR(__xludf.DUMMYFUNCTION("""COMPUTED_VALUE"""),98.0)</f>
        <v>98</v>
      </c>
      <c r="F92" s="4">
        <f t="shared" si="1"/>
        <v>2</v>
      </c>
      <c r="K92" s="4">
        <f>VLOOKUP(C92, Inventory_data!$A$1:$G$86, 5, True)</f>
        <v>1.17</v>
      </c>
    </row>
    <row r="93" ht="14.25" customHeight="1">
      <c r="A93" s="4">
        <v>42.0</v>
      </c>
      <c r="B93" s="5">
        <v>42374.48357638889</v>
      </c>
      <c r="C93" s="4">
        <v>77.0</v>
      </c>
      <c r="D93" s="4" t="str">
        <f>VLOOKUP(C93,inventory,3,true)</f>
        <v>produce</v>
      </c>
      <c r="E93" s="4">
        <f>IFERROR(__xludf.DUMMYFUNCTION("""COMPUTED_VALUE"""),99.0)</f>
        <v>99</v>
      </c>
      <c r="F93" s="4">
        <f t="shared" si="1"/>
        <v>2</v>
      </c>
      <c r="K93" s="4">
        <f>VLOOKUP(C93, Inventory_data!$A$1:$G$86, 5, True)</f>
        <v>2.67</v>
      </c>
    </row>
    <row r="94" ht="14.25" customHeight="1">
      <c r="A94" s="4">
        <v>43.0</v>
      </c>
      <c r="B94" s="5">
        <v>42372.79704861111</v>
      </c>
      <c r="C94" s="4">
        <v>2.0</v>
      </c>
      <c r="D94" s="4" t="str">
        <f>VLOOKUP(C94,inventory,3,true)</f>
        <v>produce</v>
      </c>
      <c r="E94" s="4">
        <f>IFERROR(__xludf.DUMMYFUNCTION("""COMPUTED_VALUE"""),100.0)</f>
        <v>100</v>
      </c>
      <c r="F94" s="4">
        <f t="shared" si="1"/>
        <v>4</v>
      </c>
      <c r="K94" s="4">
        <f>VLOOKUP(C94, Inventory_data!$A$1:$G$86, 5, True)</f>
        <v>1.44</v>
      </c>
    </row>
    <row r="95" ht="14.25" customHeight="1">
      <c r="A95" s="4">
        <v>43.0</v>
      </c>
      <c r="B95" s="5">
        <v>42372.79704861111</v>
      </c>
      <c r="C95" s="4">
        <v>41.0</v>
      </c>
      <c r="D95" s="4" t="str">
        <f>VLOOKUP(C95,inventory,3,true)</f>
        <v>frozen</v>
      </c>
      <c r="E95" s="4">
        <f>IFERROR(__xludf.DUMMYFUNCTION("""COMPUTED_VALUE"""),101.0)</f>
        <v>101</v>
      </c>
      <c r="F95" s="4">
        <f t="shared" si="1"/>
        <v>4</v>
      </c>
      <c r="K95" s="4">
        <f>VLOOKUP(C95, Inventory_data!$A$1:$G$86, 5, True)</f>
        <v>1.09</v>
      </c>
    </row>
    <row r="96" ht="14.25" customHeight="1">
      <c r="A96" s="4">
        <v>44.0</v>
      </c>
      <c r="B96" s="5">
        <v>42375.71289351852</v>
      </c>
      <c r="C96" s="4">
        <v>56.0</v>
      </c>
      <c r="D96" s="4" t="str">
        <f>VLOOKUP(C96,inventory,3,true)</f>
        <v>dry_goods</v>
      </c>
      <c r="E96" s="4">
        <f>IFERROR(__xludf.DUMMYFUNCTION("""COMPUTED_VALUE"""),102.0)</f>
        <v>102</v>
      </c>
      <c r="F96" s="4">
        <f t="shared" si="1"/>
        <v>3</v>
      </c>
      <c r="K96" s="4">
        <f>VLOOKUP(C96, Inventory_data!$A$1:$G$86, 5, True)</f>
        <v>0.86</v>
      </c>
    </row>
    <row r="97" ht="14.25" customHeight="1">
      <c r="A97" s="4">
        <v>44.0</v>
      </c>
      <c r="B97" s="5">
        <v>42375.71289351852</v>
      </c>
      <c r="C97" s="4">
        <v>75.0</v>
      </c>
      <c r="D97" s="4" t="str">
        <f>VLOOKUP(C97,inventory,3,true)</f>
        <v>snacks</v>
      </c>
      <c r="E97" s="4">
        <f>IFERROR(__xludf.DUMMYFUNCTION("""COMPUTED_VALUE"""),103.0)</f>
        <v>103</v>
      </c>
      <c r="F97" s="4">
        <f t="shared" si="1"/>
        <v>3</v>
      </c>
      <c r="K97" s="4">
        <f>VLOOKUP(C97, Inventory_data!$A$1:$G$86, 5, True)</f>
        <v>0.57</v>
      </c>
    </row>
    <row r="98" ht="14.25" customHeight="1">
      <c r="A98" s="4">
        <v>45.0</v>
      </c>
      <c r="B98" s="5">
        <v>42376.34800925926</v>
      </c>
      <c r="C98" s="4">
        <v>75.0</v>
      </c>
      <c r="D98" s="4" t="str">
        <f>VLOOKUP(C98,inventory,3,true)</f>
        <v>snacks</v>
      </c>
      <c r="E98" s="4">
        <f>IFERROR(__xludf.DUMMYFUNCTION("""COMPUTED_VALUE"""),104.0)</f>
        <v>104</v>
      </c>
      <c r="F98" s="4">
        <f t="shared" si="1"/>
        <v>3</v>
      </c>
      <c r="K98" s="4">
        <f>VLOOKUP(C98, Inventory_data!$A$1:$G$86, 5, True)</f>
        <v>0.57</v>
      </c>
    </row>
    <row r="99" ht="14.25" customHeight="1">
      <c r="A99" s="4">
        <v>45.0</v>
      </c>
      <c r="B99" s="5">
        <v>42376.34800925926</v>
      </c>
      <c r="C99" s="4">
        <v>40.0</v>
      </c>
      <c r="D99" s="4" t="str">
        <f>VLOOKUP(C99,inventory,3,true)</f>
        <v>frozen</v>
      </c>
      <c r="E99" s="4">
        <f>IFERROR(__xludf.DUMMYFUNCTION("""COMPUTED_VALUE"""),105.0)</f>
        <v>105</v>
      </c>
      <c r="F99" s="4">
        <f t="shared" si="1"/>
        <v>3</v>
      </c>
      <c r="K99" s="4">
        <f>VLOOKUP(C99, Inventory_data!$A$1:$G$86, 5, True)</f>
        <v>1.17</v>
      </c>
    </row>
    <row r="100" ht="14.25" customHeight="1">
      <c r="A100" s="4">
        <v>45.0</v>
      </c>
      <c r="B100" s="5">
        <v>42376.34800925926</v>
      </c>
      <c r="C100" s="4">
        <v>39.0</v>
      </c>
      <c r="D100" s="4" t="str">
        <f>VLOOKUP(C100,inventory,3,true)</f>
        <v>snacks</v>
      </c>
      <c r="E100" s="4">
        <f>IFERROR(__xludf.DUMMYFUNCTION("""COMPUTED_VALUE"""),106.0)</f>
        <v>106</v>
      </c>
      <c r="F100" s="4">
        <f t="shared" si="1"/>
        <v>6</v>
      </c>
      <c r="K100" s="4">
        <f>VLOOKUP(C100, Inventory_data!$A$1:$G$86, 5, True)</f>
        <v>0.59</v>
      </c>
    </row>
    <row r="101" ht="14.25" customHeight="1">
      <c r="A101" s="4">
        <v>45.0</v>
      </c>
      <c r="B101" s="5">
        <v>42376.34800925926</v>
      </c>
      <c r="C101" s="4">
        <v>51.0</v>
      </c>
      <c r="D101" s="4" t="str">
        <f>VLOOKUP(C101,inventory,3,true)</f>
        <v>dairy</v>
      </c>
      <c r="E101" s="4">
        <f>IFERROR(__xludf.DUMMYFUNCTION("""COMPUTED_VALUE"""),107.0)</f>
        <v>107</v>
      </c>
      <c r="F101" s="4">
        <f t="shared" si="1"/>
        <v>1</v>
      </c>
      <c r="K101" s="4">
        <f>VLOOKUP(C101, Inventory_data!$A$1:$G$86, 5, True)</f>
        <v>0.89</v>
      </c>
    </row>
    <row r="102" ht="14.25" customHeight="1">
      <c r="A102" s="4">
        <v>45.0</v>
      </c>
      <c r="B102" s="5">
        <v>42376.34800925926</v>
      </c>
      <c r="C102" s="4">
        <v>52.0</v>
      </c>
      <c r="D102" s="4" t="str">
        <f>VLOOKUP(C102,inventory,3,true)</f>
        <v>dairy</v>
      </c>
      <c r="E102" s="4">
        <f>IFERROR(__xludf.DUMMYFUNCTION("""COMPUTED_VALUE"""),108.0)</f>
        <v>108</v>
      </c>
      <c r="F102" s="4">
        <f t="shared" si="1"/>
        <v>3</v>
      </c>
      <c r="K102" s="4">
        <f>VLOOKUP(C102, Inventory_data!$A$1:$G$86, 5, True)</f>
        <v>1.79</v>
      </c>
    </row>
    <row r="103" ht="14.25" customHeight="1">
      <c r="A103" s="4">
        <v>46.0</v>
      </c>
      <c r="B103" s="5">
        <v>42372.38719907407</v>
      </c>
      <c r="C103" s="4">
        <v>63.0</v>
      </c>
      <c r="D103" s="4" t="str">
        <f>VLOOKUP(C103,inventory,3,true)</f>
        <v>produce</v>
      </c>
      <c r="E103" s="4">
        <f>IFERROR(__xludf.DUMMYFUNCTION("""COMPUTED_VALUE"""),109.0)</f>
        <v>109</v>
      </c>
      <c r="F103" s="4">
        <f t="shared" si="1"/>
        <v>3</v>
      </c>
      <c r="K103" s="4">
        <f>VLOOKUP(C103, Inventory_data!$A$1:$G$86, 5, True)</f>
        <v>3.57</v>
      </c>
    </row>
    <row r="104" ht="14.25" customHeight="1">
      <c r="A104" s="4">
        <v>46.0</v>
      </c>
      <c r="B104" s="5">
        <v>42372.38719907407</v>
      </c>
      <c r="C104" s="4">
        <v>43.0</v>
      </c>
      <c r="D104" s="4" t="str">
        <f>VLOOKUP(C104,inventory,3,true)</f>
        <v>bread</v>
      </c>
      <c r="E104" s="4">
        <f>IFERROR(__xludf.DUMMYFUNCTION("""COMPUTED_VALUE"""),110.0)</f>
        <v>110</v>
      </c>
      <c r="F104" s="4">
        <f t="shared" si="1"/>
        <v>1</v>
      </c>
      <c r="K104" s="4">
        <f>VLOOKUP(C104, Inventory_data!$A$1:$G$86, 5, True)</f>
        <v>0.99</v>
      </c>
    </row>
    <row r="105" ht="14.25" customHeight="1">
      <c r="A105" s="4">
        <v>47.0</v>
      </c>
      <c r="B105" s="5">
        <v>42376.74675925926</v>
      </c>
      <c r="C105" s="4">
        <v>28.0</v>
      </c>
      <c r="D105" s="4" t="str">
        <f>VLOOKUP(C105,inventory,3,true)</f>
        <v>dry_goods</v>
      </c>
      <c r="E105" s="4">
        <f>IFERROR(__xludf.DUMMYFUNCTION("""COMPUTED_VALUE"""),111.0)</f>
        <v>111</v>
      </c>
      <c r="F105" s="4">
        <f t="shared" si="1"/>
        <v>1</v>
      </c>
      <c r="K105" s="4">
        <f>VLOOKUP(C105, Inventory_data!$A$1:$G$86, 5, True)</f>
        <v>0.69</v>
      </c>
    </row>
    <row r="106" ht="14.25" customHeight="1">
      <c r="A106" s="4">
        <v>48.0</v>
      </c>
      <c r="B106" s="5">
        <v>42377.656909722224</v>
      </c>
      <c r="C106" s="4">
        <v>30.0</v>
      </c>
      <c r="D106" s="4" t="str">
        <f>VLOOKUP(C106,inventory,3,true)</f>
        <v>dairy</v>
      </c>
      <c r="E106" s="4">
        <f>IFERROR(__xludf.DUMMYFUNCTION("""COMPUTED_VALUE"""),112.0)</f>
        <v>112</v>
      </c>
      <c r="F106" s="4">
        <f t="shared" si="1"/>
        <v>2</v>
      </c>
      <c r="K106" s="4">
        <f>VLOOKUP(C106, Inventory_data!$A$1:$G$86, 5, True)</f>
        <v>0.91</v>
      </c>
    </row>
    <row r="107" ht="14.25" customHeight="1">
      <c r="A107" s="4">
        <v>48.0</v>
      </c>
      <c r="B107" s="5">
        <v>42377.656909722224</v>
      </c>
      <c r="C107" s="4">
        <v>23.0</v>
      </c>
      <c r="D107" s="4" t="str">
        <f>VLOOKUP(C107,inventory,3,true)</f>
        <v>dry_goods</v>
      </c>
      <c r="E107" s="4">
        <f>IFERROR(__xludf.DUMMYFUNCTION("""COMPUTED_VALUE"""),113.0)</f>
        <v>113</v>
      </c>
      <c r="F107" s="4">
        <f t="shared" si="1"/>
        <v>2</v>
      </c>
      <c r="K107" s="4">
        <f>VLOOKUP(C107, Inventory_data!$A$1:$G$86, 5, True)</f>
        <v>0.91</v>
      </c>
    </row>
    <row r="108" ht="14.25" customHeight="1">
      <c r="A108" s="4">
        <v>48.0</v>
      </c>
      <c r="B108" s="5">
        <v>42377.656909722224</v>
      </c>
      <c r="C108" s="4">
        <v>18.0</v>
      </c>
      <c r="D108" s="4" t="str">
        <f>VLOOKUP(C108,inventory,3,true)</f>
        <v>dry_goods</v>
      </c>
      <c r="E108" s="4">
        <f>IFERROR(__xludf.DUMMYFUNCTION("""COMPUTED_VALUE"""),114.0)</f>
        <v>114</v>
      </c>
      <c r="F108" s="4">
        <f t="shared" si="1"/>
        <v>2</v>
      </c>
      <c r="K108" s="4">
        <f>VLOOKUP(C108, Inventory_data!$A$1:$G$86, 5, True)</f>
        <v>0.67</v>
      </c>
    </row>
    <row r="109" ht="14.25" customHeight="1">
      <c r="A109" s="4">
        <v>48.0</v>
      </c>
      <c r="B109" s="5">
        <v>42377.656909722224</v>
      </c>
      <c r="C109" s="4">
        <v>20.0</v>
      </c>
      <c r="D109" s="4" t="str">
        <f>VLOOKUP(C109,inventory,3,true)</f>
        <v>snacks</v>
      </c>
      <c r="E109" s="4">
        <f>IFERROR(__xludf.DUMMYFUNCTION("""COMPUTED_VALUE"""),116.0)</f>
        <v>116</v>
      </c>
      <c r="F109" s="4">
        <f t="shared" si="1"/>
        <v>2</v>
      </c>
      <c r="K109" s="4">
        <f>VLOOKUP(C109, Inventory_data!$A$1:$G$86, 5, True)</f>
        <v>1.11</v>
      </c>
    </row>
    <row r="110" ht="14.25" customHeight="1">
      <c r="A110" s="4">
        <v>49.0</v>
      </c>
      <c r="B110" s="5">
        <v>42376.743310185186</v>
      </c>
      <c r="C110" s="4">
        <v>67.0</v>
      </c>
      <c r="D110" s="4" t="str">
        <f>VLOOKUP(C110,inventory,3,true)</f>
        <v>dry_goods</v>
      </c>
      <c r="E110" s="4">
        <f>IFERROR(__xludf.DUMMYFUNCTION("""COMPUTED_VALUE"""),117.0)</f>
        <v>117</v>
      </c>
      <c r="F110" s="4">
        <f t="shared" si="1"/>
        <v>1</v>
      </c>
      <c r="K110" s="4">
        <f>VLOOKUP(C110, Inventory_data!$A$1:$G$86, 5, True)</f>
        <v>1.74</v>
      </c>
    </row>
    <row r="111" ht="14.25" customHeight="1">
      <c r="A111" s="4">
        <v>49.0</v>
      </c>
      <c r="B111" s="5">
        <v>42376.743310185186</v>
      </c>
      <c r="C111" s="4">
        <v>53.0</v>
      </c>
      <c r="D111" s="4" t="str">
        <f>VLOOKUP(C111,inventory,3,true)</f>
        <v>dairy</v>
      </c>
      <c r="E111" s="4">
        <f>IFERROR(__xludf.DUMMYFUNCTION("""COMPUTED_VALUE"""),118.0)</f>
        <v>118</v>
      </c>
      <c r="F111" s="4">
        <f t="shared" si="1"/>
        <v>6</v>
      </c>
      <c r="K111" s="4">
        <f>VLOOKUP(C111, Inventory_data!$A$1:$G$86, 5, True)</f>
        <v>1.69</v>
      </c>
    </row>
    <row r="112" ht="14.25" customHeight="1">
      <c r="A112" s="4">
        <v>50.0</v>
      </c>
      <c r="B112" s="5">
        <v>42375.624074074076</v>
      </c>
      <c r="C112" s="4">
        <v>56.0</v>
      </c>
      <c r="D112" s="4" t="str">
        <f>VLOOKUP(C112,inventory,3,true)</f>
        <v>dry_goods</v>
      </c>
      <c r="E112" s="4">
        <f>IFERROR(__xludf.DUMMYFUNCTION("""COMPUTED_VALUE"""),119.0)</f>
        <v>119</v>
      </c>
      <c r="F112" s="4">
        <f t="shared" si="1"/>
        <v>1</v>
      </c>
      <c r="K112" s="4">
        <f>VLOOKUP(C112, Inventory_data!$A$1:$G$86, 5, True)</f>
        <v>0.86</v>
      </c>
    </row>
    <row r="113" ht="14.25" customHeight="1">
      <c r="A113" s="4">
        <v>50.0</v>
      </c>
      <c r="B113" s="5">
        <v>42375.624074074076</v>
      </c>
      <c r="C113" s="4">
        <v>80.0</v>
      </c>
      <c r="D113" s="4" t="str">
        <f>VLOOKUP(C113,inventory,3,true)</f>
        <v>dry_goods</v>
      </c>
      <c r="E113" s="4">
        <f>IFERROR(__xludf.DUMMYFUNCTION("""COMPUTED_VALUE"""),120.0)</f>
        <v>120</v>
      </c>
      <c r="F113" s="4">
        <f t="shared" si="1"/>
        <v>3</v>
      </c>
      <c r="K113" s="4">
        <f>VLOOKUP(C113, Inventory_data!$A$1:$G$86, 5, True)</f>
        <v>3.49</v>
      </c>
    </row>
    <row r="114" ht="14.25" customHeight="1">
      <c r="A114" s="4">
        <v>52.0</v>
      </c>
      <c r="B114" s="5">
        <v>42374.65609953704</v>
      </c>
      <c r="C114" s="4">
        <v>50.0</v>
      </c>
      <c r="D114" s="4" t="str">
        <f>VLOOKUP(C114,inventory,3,true)</f>
        <v>dairy</v>
      </c>
      <c r="E114" s="4">
        <f>IFERROR(__xludf.DUMMYFUNCTION("""COMPUTED_VALUE"""),121.0)</f>
        <v>121</v>
      </c>
      <c r="F114" s="4">
        <f t="shared" si="1"/>
        <v>4</v>
      </c>
      <c r="K114" s="4">
        <f>VLOOKUP(C114, Inventory_data!$A$1:$G$86, 5, True)</f>
        <v>0.77</v>
      </c>
    </row>
    <row r="115" ht="14.25" customHeight="1">
      <c r="A115" s="4">
        <v>52.0</v>
      </c>
      <c r="B115" s="5">
        <v>42374.65609953704</v>
      </c>
      <c r="C115" s="4">
        <v>13.0</v>
      </c>
      <c r="D115" s="4" t="str">
        <f>VLOOKUP(C115,inventory,3,true)</f>
        <v>beverages</v>
      </c>
      <c r="E115" s="4">
        <f>IFERROR(__xludf.DUMMYFUNCTION("""COMPUTED_VALUE"""),123.0)</f>
        <v>123</v>
      </c>
      <c r="F115" s="4">
        <f t="shared" si="1"/>
        <v>3</v>
      </c>
      <c r="K115" s="4">
        <f>VLOOKUP(C115, Inventory_data!$A$1:$G$86, 5, True)</f>
        <v>0.38</v>
      </c>
    </row>
    <row r="116" ht="14.25" customHeight="1">
      <c r="A116" s="4">
        <v>52.0</v>
      </c>
      <c r="B116" s="5">
        <v>42374.65609953704</v>
      </c>
      <c r="C116" s="4">
        <v>44.0</v>
      </c>
      <c r="D116" s="4" t="str">
        <f>VLOOKUP(C116,inventory,3,true)</f>
        <v>frozen</v>
      </c>
      <c r="E116" s="4">
        <f>IFERROR(__xludf.DUMMYFUNCTION("""COMPUTED_VALUE"""),124.0)</f>
        <v>124</v>
      </c>
      <c r="F116" s="4">
        <f t="shared" si="1"/>
        <v>2</v>
      </c>
      <c r="K116" s="4">
        <f>VLOOKUP(C116, Inventory_data!$A$1:$G$86, 5, True)</f>
        <v>4.99</v>
      </c>
    </row>
    <row r="117" ht="14.25" customHeight="1">
      <c r="A117" s="4">
        <v>53.0</v>
      </c>
      <c r="B117" s="5">
        <v>42375.49711805556</v>
      </c>
      <c r="C117" s="4">
        <v>61.0</v>
      </c>
      <c r="D117" s="4" t="str">
        <f>VLOOKUP(C117,inventory,3,true)</f>
        <v>produce</v>
      </c>
      <c r="E117" s="4">
        <f>IFERROR(__xludf.DUMMYFUNCTION("""COMPUTED_VALUE"""),126.0)</f>
        <v>126</v>
      </c>
      <c r="F117" s="4">
        <f t="shared" si="1"/>
        <v>1</v>
      </c>
      <c r="K117" s="4">
        <f>VLOOKUP(C117, Inventory_data!$A$1:$G$86, 5, True)</f>
        <v>0.55</v>
      </c>
    </row>
    <row r="118" ht="14.25" customHeight="1">
      <c r="A118" s="4">
        <v>53.0</v>
      </c>
      <c r="B118" s="5">
        <v>42375.49711805556</v>
      </c>
      <c r="C118" s="4">
        <v>33.0</v>
      </c>
      <c r="D118" s="4" t="str">
        <f>VLOOKUP(C118,inventory,3,true)</f>
        <v>canned_jarred_goods</v>
      </c>
      <c r="E118" s="4">
        <f>IFERROR(__xludf.DUMMYFUNCTION("""COMPUTED_VALUE"""),127.0)</f>
        <v>127</v>
      </c>
      <c r="F118" s="4">
        <f t="shared" si="1"/>
        <v>2</v>
      </c>
      <c r="K118" s="4">
        <f>VLOOKUP(C118, Inventory_data!$A$1:$G$86, 5, True)</f>
        <v>0.97</v>
      </c>
    </row>
    <row r="119" ht="14.25" customHeight="1">
      <c r="A119" s="4">
        <v>53.0</v>
      </c>
      <c r="B119" s="5">
        <v>42375.49711805556</v>
      </c>
      <c r="C119" s="4">
        <v>36.0</v>
      </c>
      <c r="D119" s="4" t="str">
        <f>VLOOKUP(C119,inventory,3,true)</f>
        <v>canned_jarred_goods</v>
      </c>
      <c r="E119" s="4">
        <f>IFERROR(__xludf.DUMMYFUNCTION("""COMPUTED_VALUE"""),128.0)</f>
        <v>128</v>
      </c>
      <c r="F119" s="4">
        <f t="shared" si="1"/>
        <v>2</v>
      </c>
      <c r="K119" s="4">
        <f>VLOOKUP(C119, Inventory_data!$A$1:$G$86, 5, True)</f>
        <v>1.12</v>
      </c>
    </row>
    <row r="120" ht="14.25" customHeight="1">
      <c r="A120" s="4">
        <v>53.0</v>
      </c>
      <c r="B120" s="5">
        <v>42375.49711805556</v>
      </c>
      <c r="C120" s="4">
        <v>29.0</v>
      </c>
      <c r="D120" s="4" t="str">
        <f>VLOOKUP(C120,inventory,3,true)</f>
        <v>dairy</v>
      </c>
      <c r="E120" s="4">
        <f>IFERROR(__xludf.DUMMYFUNCTION("""COMPUTED_VALUE"""),129.0)</f>
        <v>129</v>
      </c>
      <c r="F120" s="4">
        <f t="shared" si="1"/>
        <v>2</v>
      </c>
      <c r="K120" s="4">
        <f>VLOOKUP(C120, Inventory_data!$A$1:$G$86, 5, True)</f>
        <v>0.63</v>
      </c>
    </row>
    <row r="121" ht="14.25" customHeight="1">
      <c r="A121" s="4">
        <v>54.0</v>
      </c>
      <c r="B121" s="5">
        <v>42372.370358796295</v>
      </c>
      <c r="C121" s="4">
        <v>20.0</v>
      </c>
      <c r="D121" s="4" t="str">
        <f>VLOOKUP(C121,inventory,3,true)</f>
        <v>snacks</v>
      </c>
      <c r="E121" s="4">
        <f>IFERROR(__xludf.DUMMYFUNCTION("""COMPUTED_VALUE"""),130.0)</f>
        <v>130</v>
      </c>
      <c r="F121" s="4">
        <f t="shared" si="1"/>
        <v>2</v>
      </c>
      <c r="K121" s="4">
        <f>VLOOKUP(C121, Inventory_data!$A$1:$G$86, 5, True)</f>
        <v>1.11</v>
      </c>
    </row>
    <row r="122" ht="14.25" customHeight="1">
      <c r="A122" s="4">
        <v>54.0</v>
      </c>
      <c r="B122" s="5">
        <v>42372.370358796295</v>
      </c>
      <c r="C122" s="4">
        <v>79.0</v>
      </c>
      <c r="D122" s="4" t="str">
        <f>VLOOKUP(C122,inventory,3,true)</f>
        <v>dry_goods</v>
      </c>
      <c r="E122" s="4">
        <f>IFERROR(__xludf.DUMMYFUNCTION("""COMPUTED_VALUE"""),131.0)</f>
        <v>131</v>
      </c>
      <c r="F122" s="4">
        <f t="shared" si="1"/>
        <v>1</v>
      </c>
      <c r="K122" s="4">
        <f>VLOOKUP(C122, Inventory_data!$A$1:$G$86, 5, True)</f>
        <v>3.3</v>
      </c>
    </row>
    <row r="123" ht="14.25" customHeight="1">
      <c r="A123" s="4">
        <v>55.0</v>
      </c>
      <c r="B123" s="5">
        <v>42374.80118055556</v>
      </c>
      <c r="C123" s="4">
        <v>8.0</v>
      </c>
      <c r="D123" s="4" t="str">
        <f>VLOOKUP(C123,inventory,3,true)</f>
        <v>produce</v>
      </c>
      <c r="E123" s="4">
        <f>IFERROR(__xludf.DUMMYFUNCTION("""COMPUTED_VALUE"""),133.0)</f>
        <v>133</v>
      </c>
      <c r="F123" s="4">
        <f t="shared" si="1"/>
        <v>2</v>
      </c>
      <c r="K123" s="4">
        <f>VLOOKUP(C123, Inventory_data!$A$1:$G$86, 5, True)</f>
        <v>3.99</v>
      </c>
    </row>
    <row r="124" ht="14.25" customHeight="1">
      <c r="A124" s="4">
        <v>55.0</v>
      </c>
      <c r="B124" s="5">
        <v>42374.80118055556</v>
      </c>
      <c r="C124" s="4">
        <v>76.0</v>
      </c>
      <c r="D124" s="4" t="str">
        <f>VLOOKUP(C124,inventory,3,true)</f>
        <v>snacks</v>
      </c>
      <c r="E124" s="4">
        <f>IFERROR(__xludf.DUMMYFUNCTION("""COMPUTED_VALUE"""),134.0)</f>
        <v>134</v>
      </c>
      <c r="F124" s="4">
        <f t="shared" si="1"/>
        <v>3</v>
      </c>
      <c r="K124" s="4">
        <f>VLOOKUP(C124, Inventory_data!$A$1:$G$86, 5, True)</f>
        <v>0.69</v>
      </c>
    </row>
    <row r="125" ht="14.25" customHeight="1">
      <c r="A125" s="4">
        <v>56.0</v>
      </c>
      <c r="B125" s="5">
        <v>42372.515</v>
      </c>
      <c r="C125" s="4">
        <v>62.0</v>
      </c>
      <c r="D125" s="4" t="str">
        <f>VLOOKUP(C125,inventory,3,true)</f>
        <v>dry_goods</v>
      </c>
      <c r="E125" s="4">
        <f>IFERROR(__xludf.DUMMYFUNCTION("""COMPUTED_VALUE"""),135.0)</f>
        <v>135</v>
      </c>
      <c r="F125" s="4">
        <f t="shared" si="1"/>
        <v>2</v>
      </c>
      <c r="K125" s="4">
        <f>VLOOKUP(C125, Inventory_data!$A$1:$G$86, 5, True)</f>
        <v>1.17</v>
      </c>
    </row>
    <row r="126" ht="14.25" customHeight="1">
      <c r="A126" s="4">
        <v>56.0</v>
      </c>
      <c r="B126" s="5">
        <v>42372.515</v>
      </c>
      <c r="C126" s="4">
        <v>70.0</v>
      </c>
      <c r="D126" s="4" t="str">
        <f>VLOOKUP(C126,inventory,3,true)</f>
        <v>dry_goods</v>
      </c>
      <c r="E126" s="4">
        <f>IFERROR(__xludf.DUMMYFUNCTION("""COMPUTED_VALUE"""),136.0)</f>
        <v>136</v>
      </c>
      <c r="F126" s="4">
        <f t="shared" si="1"/>
        <v>3</v>
      </c>
      <c r="K126" s="4">
        <f>VLOOKUP(C126, Inventory_data!$A$1:$G$86, 5, True)</f>
        <v>0.19</v>
      </c>
    </row>
    <row r="127" ht="14.25" customHeight="1">
      <c r="A127" s="4">
        <v>57.0</v>
      </c>
      <c r="B127" s="5">
        <v>42376.812523148146</v>
      </c>
      <c r="C127" s="4">
        <v>81.0</v>
      </c>
      <c r="D127" s="4" t="str">
        <f>VLOOKUP(C127,inventory,3,true)</f>
        <v>dry_goods</v>
      </c>
      <c r="E127" s="4">
        <f>IFERROR(__xludf.DUMMYFUNCTION("""COMPUTED_VALUE"""),137.0)</f>
        <v>137</v>
      </c>
      <c r="F127" s="4">
        <f t="shared" si="1"/>
        <v>2</v>
      </c>
      <c r="K127" s="4">
        <f>VLOOKUP(C127, Inventory_data!$A$1:$G$86, 5, True)</f>
        <v>2.99</v>
      </c>
    </row>
    <row r="128" ht="14.25" customHeight="1">
      <c r="A128" s="4">
        <v>57.0</v>
      </c>
      <c r="B128" s="5">
        <v>42376.812523148146</v>
      </c>
      <c r="C128" s="4">
        <v>64.0</v>
      </c>
      <c r="D128" s="4" t="str">
        <f>VLOOKUP(C128,inventory,3,true)</f>
        <v>produce</v>
      </c>
      <c r="E128" s="4">
        <f>IFERROR(__xludf.DUMMYFUNCTION("""COMPUTED_VALUE"""),138.0)</f>
        <v>138</v>
      </c>
      <c r="F128" s="4">
        <f t="shared" si="1"/>
        <v>4</v>
      </c>
      <c r="K128" s="4">
        <f>VLOOKUP(C128, Inventory_data!$A$1:$G$86, 5, True)</f>
        <v>1.22</v>
      </c>
    </row>
    <row r="129" ht="14.25" customHeight="1">
      <c r="A129" s="4">
        <v>57.0</v>
      </c>
      <c r="B129" s="5">
        <v>42376.812523148146</v>
      </c>
      <c r="C129" s="4">
        <v>11.0</v>
      </c>
      <c r="D129" s="4" t="str">
        <f>VLOOKUP(C129,inventory,3,true)</f>
        <v>produce</v>
      </c>
      <c r="E129" s="4">
        <f>IFERROR(__xludf.DUMMYFUNCTION("""COMPUTED_VALUE"""),139.0)</f>
        <v>139</v>
      </c>
      <c r="F129" s="4">
        <f t="shared" si="1"/>
        <v>4</v>
      </c>
      <c r="K129" s="4">
        <f>VLOOKUP(C129, Inventory_data!$A$1:$G$86, 5, True)</f>
        <v>4.89</v>
      </c>
    </row>
    <row r="130" ht="14.25" customHeight="1">
      <c r="A130" s="4">
        <v>58.0</v>
      </c>
      <c r="B130" s="5">
        <v>42377.41131944444</v>
      </c>
      <c r="C130" s="4">
        <v>79.0</v>
      </c>
      <c r="D130" s="4" t="str">
        <f>VLOOKUP(C130,inventory,3,true)</f>
        <v>dry_goods</v>
      </c>
      <c r="E130" s="4">
        <f>IFERROR(__xludf.DUMMYFUNCTION("""COMPUTED_VALUE"""),142.0)</f>
        <v>142</v>
      </c>
      <c r="F130" s="4">
        <f t="shared" si="1"/>
        <v>3</v>
      </c>
      <c r="K130" s="4">
        <f>VLOOKUP(C130, Inventory_data!$A$1:$G$86, 5, True)</f>
        <v>3.3</v>
      </c>
    </row>
    <row r="131" ht="14.25" customHeight="1">
      <c r="A131" s="4">
        <v>58.0</v>
      </c>
      <c r="B131" s="5">
        <v>42377.41131944444</v>
      </c>
      <c r="C131" s="4">
        <v>37.0</v>
      </c>
      <c r="D131" s="4" t="str">
        <f>VLOOKUP(C131,inventory,3,true)</f>
        <v>frozen</v>
      </c>
      <c r="E131" s="4">
        <f>IFERROR(__xludf.DUMMYFUNCTION("""COMPUTED_VALUE"""),143.0)</f>
        <v>143</v>
      </c>
      <c r="F131" s="4">
        <f t="shared" si="1"/>
        <v>3</v>
      </c>
      <c r="K131" s="4">
        <f>VLOOKUP(C131, Inventory_data!$A$1:$G$86, 5, True)</f>
        <v>3.52</v>
      </c>
    </row>
    <row r="132" ht="14.25" customHeight="1">
      <c r="A132" s="4">
        <v>58.0</v>
      </c>
      <c r="B132" s="5">
        <v>42377.41131944444</v>
      </c>
      <c r="C132" s="4">
        <v>39.0</v>
      </c>
      <c r="D132" s="4" t="str">
        <f>VLOOKUP(C132,inventory,3,true)</f>
        <v>snacks</v>
      </c>
      <c r="E132" s="4">
        <f>IFERROR(__xludf.DUMMYFUNCTION("""COMPUTED_VALUE"""),144.0)</f>
        <v>144</v>
      </c>
      <c r="F132" s="4">
        <f t="shared" si="1"/>
        <v>1</v>
      </c>
      <c r="K132" s="4">
        <f>VLOOKUP(C132, Inventory_data!$A$1:$G$86, 5, True)</f>
        <v>0.59</v>
      </c>
    </row>
    <row r="133" ht="14.25" customHeight="1">
      <c r="A133" s="4">
        <v>58.0</v>
      </c>
      <c r="B133" s="5">
        <v>42377.41131944444</v>
      </c>
      <c r="C133" s="4">
        <v>27.0</v>
      </c>
      <c r="D133" s="4" t="str">
        <f>VLOOKUP(C133,inventory,3,true)</f>
        <v>other</v>
      </c>
      <c r="E133" s="4">
        <f>IFERROR(__xludf.DUMMYFUNCTION("""COMPUTED_VALUE"""),145.0)</f>
        <v>145</v>
      </c>
      <c r="F133" s="4">
        <f t="shared" si="1"/>
        <v>2</v>
      </c>
      <c r="K133" s="4">
        <f>VLOOKUP(C133, Inventory_data!$A$1:$G$86, 5, True)</f>
        <v>6</v>
      </c>
    </row>
    <row r="134" ht="14.25" customHeight="1">
      <c r="A134" s="4">
        <v>59.0</v>
      </c>
      <c r="B134" s="5">
        <v>42377.61090277778</v>
      </c>
      <c r="C134" s="4">
        <v>4.0</v>
      </c>
      <c r="D134" s="4" t="str">
        <f>VLOOKUP(C134,inventory,3,true)</f>
        <v>produce</v>
      </c>
      <c r="E134" s="4">
        <f>IFERROR(__xludf.DUMMYFUNCTION("""COMPUTED_VALUE"""),146.0)</f>
        <v>146</v>
      </c>
      <c r="F134" s="4">
        <f t="shared" si="1"/>
        <v>1</v>
      </c>
      <c r="K134" s="4">
        <f>VLOOKUP(C134, Inventory_data!$A$1:$G$86, 5, True)</f>
        <v>1.19</v>
      </c>
    </row>
    <row r="135" ht="14.25" customHeight="1">
      <c r="A135" s="4">
        <v>60.0</v>
      </c>
      <c r="B135" s="5">
        <v>42372.5771875</v>
      </c>
      <c r="C135" s="4">
        <v>51.0</v>
      </c>
      <c r="D135" s="4" t="str">
        <f>VLOOKUP(C135,inventory,3,true)</f>
        <v>dairy</v>
      </c>
      <c r="E135" s="4">
        <f>IFERROR(__xludf.DUMMYFUNCTION("""COMPUTED_VALUE"""),147.0)</f>
        <v>147</v>
      </c>
      <c r="F135" s="4">
        <f t="shared" si="1"/>
        <v>3</v>
      </c>
      <c r="K135" s="4">
        <f>VLOOKUP(C135, Inventory_data!$A$1:$G$86, 5, True)</f>
        <v>0.89</v>
      </c>
    </row>
    <row r="136" ht="14.25" customHeight="1">
      <c r="A136" s="4">
        <v>60.0</v>
      </c>
      <c r="B136" s="5">
        <v>42372.5771875</v>
      </c>
      <c r="C136" s="4">
        <v>13.0</v>
      </c>
      <c r="D136" s="4" t="str">
        <f>VLOOKUP(C136,inventory,3,true)</f>
        <v>beverages</v>
      </c>
      <c r="E136" s="4">
        <f>IFERROR(__xludf.DUMMYFUNCTION("""COMPUTED_VALUE"""),148.0)</f>
        <v>148</v>
      </c>
      <c r="F136" s="4">
        <f t="shared" si="1"/>
        <v>1</v>
      </c>
      <c r="K136" s="4">
        <f>VLOOKUP(C136, Inventory_data!$A$1:$G$86, 5, True)</f>
        <v>0.38</v>
      </c>
    </row>
    <row r="137" ht="14.25" customHeight="1">
      <c r="A137" s="4">
        <v>60.0</v>
      </c>
      <c r="B137" s="5">
        <v>42372.5771875</v>
      </c>
      <c r="C137" s="4">
        <v>78.0</v>
      </c>
      <c r="D137" s="4" t="str">
        <f>VLOOKUP(C137,inventory,3,true)</f>
        <v>dry_goods</v>
      </c>
      <c r="E137" s="4">
        <f>IFERROR(__xludf.DUMMYFUNCTION("""COMPUTED_VALUE"""),149.0)</f>
        <v>149</v>
      </c>
      <c r="F137" s="4">
        <f t="shared" si="1"/>
        <v>2</v>
      </c>
      <c r="K137" s="4">
        <f>VLOOKUP(C137, Inventory_data!$A$1:$G$86, 5, True)</f>
        <v>1.44</v>
      </c>
    </row>
    <row r="138" ht="14.25" customHeight="1">
      <c r="A138" s="4">
        <v>61.0</v>
      </c>
      <c r="B138" s="5">
        <v>42372.386458333334</v>
      </c>
      <c r="C138" s="4">
        <v>22.0</v>
      </c>
      <c r="D138" s="4" t="str">
        <f>VLOOKUP(C138,inventory,3,true)</f>
        <v>meat</v>
      </c>
      <c r="E138" s="4">
        <f>IFERROR(__xludf.DUMMYFUNCTION("""COMPUTED_VALUE"""),151.0)</f>
        <v>151</v>
      </c>
      <c r="F138" s="4">
        <f t="shared" si="1"/>
        <v>3</v>
      </c>
      <c r="K138" s="4">
        <f>VLOOKUP(C138, Inventory_data!$A$1:$G$86, 5, True)</f>
        <v>19.59</v>
      </c>
    </row>
    <row r="139" ht="14.25" customHeight="1">
      <c r="A139" s="4">
        <v>61.0</v>
      </c>
      <c r="B139" s="5">
        <v>42372.386458333334</v>
      </c>
      <c r="C139" s="4">
        <v>31.0</v>
      </c>
      <c r="D139" s="4" t="str">
        <f>VLOOKUP(C139,inventory,3,true)</f>
        <v>snacks</v>
      </c>
      <c r="E139" s="4">
        <f>IFERROR(__xludf.DUMMYFUNCTION("""COMPUTED_VALUE"""),152.0)</f>
        <v>152</v>
      </c>
      <c r="F139" s="4">
        <f t="shared" si="1"/>
        <v>2</v>
      </c>
      <c r="K139" s="4">
        <f>VLOOKUP(C139, Inventory_data!$A$1:$G$86, 5, True)</f>
        <v>0.61</v>
      </c>
    </row>
    <row r="140" ht="14.25" customHeight="1">
      <c r="A140" s="4">
        <v>61.0</v>
      </c>
      <c r="B140" s="5">
        <v>42372.386458333334</v>
      </c>
      <c r="C140" s="4">
        <v>46.0</v>
      </c>
      <c r="D140" s="4" t="str">
        <f>VLOOKUP(C140,inventory,3,true)</f>
        <v>frozen</v>
      </c>
      <c r="E140" s="4">
        <f>IFERROR(__xludf.DUMMYFUNCTION("""COMPUTED_VALUE"""),153.0)</f>
        <v>153</v>
      </c>
      <c r="F140" s="4">
        <f t="shared" si="1"/>
        <v>2</v>
      </c>
      <c r="K140" s="4">
        <f>VLOOKUP(C140, Inventory_data!$A$1:$G$86, 5, True)</f>
        <v>16.99</v>
      </c>
    </row>
    <row r="141" ht="14.25" customHeight="1">
      <c r="A141" s="4">
        <v>61.0</v>
      </c>
      <c r="B141" s="5">
        <v>42372.386458333334</v>
      </c>
      <c r="C141" s="4">
        <v>46.0</v>
      </c>
      <c r="D141" s="4" t="str">
        <f>VLOOKUP(C141,inventory,3,true)</f>
        <v>frozen</v>
      </c>
      <c r="E141" s="4">
        <f>IFERROR(__xludf.DUMMYFUNCTION("""COMPUTED_VALUE"""),154.0)</f>
        <v>154</v>
      </c>
      <c r="F141" s="4">
        <f t="shared" si="1"/>
        <v>2</v>
      </c>
      <c r="K141" s="4">
        <f>VLOOKUP(C141, Inventory_data!$A$1:$G$86, 5, True)</f>
        <v>16.99</v>
      </c>
    </row>
    <row r="142" ht="14.25" customHeight="1">
      <c r="A142" s="4">
        <v>62.0</v>
      </c>
      <c r="B142" s="5">
        <v>42376.607303240744</v>
      </c>
      <c r="C142" s="4">
        <v>56.0</v>
      </c>
      <c r="D142" s="4" t="str">
        <f>VLOOKUP(C142,inventory,3,true)</f>
        <v>dry_goods</v>
      </c>
      <c r="E142" s="4">
        <f>IFERROR(__xludf.DUMMYFUNCTION("""COMPUTED_VALUE"""),155.0)</f>
        <v>155</v>
      </c>
      <c r="F142" s="4">
        <f t="shared" si="1"/>
        <v>2</v>
      </c>
      <c r="K142" s="4">
        <f>VLOOKUP(C142, Inventory_data!$A$1:$G$86, 5, True)</f>
        <v>0.86</v>
      </c>
    </row>
    <row r="143" ht="14.25" customHeight="1">
      <c r="A143" s="4">
        <v>63.0</v>
      </c>
      <c r="B143" s="5">
        <v>42375.78787037037</v>
      </c>
      <c r="C143" s="4">
        <v>16.0</v>
      </c>
      <c r="D143" s="4" t="str">
        <f>VLOOKUP(C143,inventory,3,true)</f>
        <v>snacks</v>
      </c>
      <c r="E143" s="4">
        <f>IFERROR(__xludf.DUMMYFUNCTION("""COMPUTED_VALUE"""),156.0)</f>
        <v>156</v>
      </c>
      <c r="F143" s="4">
        <f t="shared" si="1"/>
        <v>1</v>
      </c>
      <c r="K143" s="4">
        <f>VLOOKUP(C143, Inventory_data!$A$1:$G$86, 5, True)</f>
        <v>2.43</v>
      </c>
    </row>
    <row r="144" ht="14.25" customHeight="1">
      <c r="A144" s="4">
        <v>64.0</v>
      </c>
      <c r="B144" s="5">
        <v>42375.77761574074</v>
      </c>
      <c r="C144" s="4">
        <v>16.0</v>
      </c>
      <c r="D144" s="4" t="str">
        <f>VLOOKUP(C144,inventory,3,true)</f>
        <v>snacks</v>
      </c>
      <c r="E144" s="4">
        <f>IFERROR(__xludf.DUMMYFUNCTION("""COMPUTED_VALUE"""),157.0)</f>
        <v>157</v>
      </c>
      <c r="F144" s="4">
        <f t="shared" si="1"/>
        <v>3</v>
      </c>
      <c r="K144" s="4">
        <f>VLOOKUP(C144, Inventory_data!$A$1:$G$86, 5, True)</f>
        <v>2.43</v>
      </c>
    </row>
    <row r="145" ht="14.25" customHeight="1">
      <c r="A145" s="4">
        <v>64.0</v>
      </c>
      <c r="B145" s="5">
        <v>42375.77761574074</v>
      </c>
      <c r="C145" s="4">
        <v>70.0</v>
      </c>
      <c r="D145" s="4" t="str">
        <f>VLOOKUP(C145,inventory,3,true)</f>
        <v>dry_goods</v>
      </c>
      <c r="E145" s="4">
        <f>IFERROR(__xludf.DUMMYFUNCTION("""COMPUTED_VALUE"""),158.0)</f>
        <v>158</v>
      </c>
      <c r="F145" s="4">
        <f t="shared" si="1"/>
        <v>5</v>
      </c>
      <c r="K145" s="4">
        <f>VLOOKUP(C145, Inventory_data!$A$1:$G$86, 5, True)</f>
        <v>0.19</v>
      </c>
    </row>
    <row r="146" ht="14.25" customHeight="1">
      <c r="A146" s="4">
        <v>64.0</v>
      </c>
      <c r="B146" s="5">
        <v>42375.77761574074</v>
      </c>
      <c r="C146" s="4">
        <v>22.0</v>
      </c>
      <c r="D146" s="4" t="str">
        <f>VLOOKUP(C146,inventory,3,true)</f>
        <v>meat</v>
      </c>
      <c r="E146" s="4">
        <f>IFERROR(__xludf.DUMMYFUNCTION("""COMPUTED_VALUE"""),159.0)</f>
        <v>159</v>
      </c>
      <c r="F146" s="4">
        <f t="shared" si="1"/>
        <v>3</v>
      </c>
      <c r="K146" s="4">
        <f>VLOOKUP(C146, Inventory_data!$A$1:$G$86, 5, True)</f>
        <v>19.59</v>
      </c>
    </row>
    <row r="147" ht="14.25" customHeight="1">
      <c r="A147" s="4">
        <v>65.0</v>
      </c>
      <c r="B147" s="5">
        <v>42376.69925925926</v>
      </c>
      <c r="C147" s="4">
        <v>50.0</v>
      </c>
      <c r="D147" s="4" t="str">
        <f>VLOOKUP(C147,inventory,3,true)</f>
        <v>dairy</v>
      </c>
      <c r="E147" s="4">
        <f>IFERROR(__xludf.DUMMYFUNCTION("""COMPUTED_VALUE"""),160.0)</f>
        <v>160</v>
      </c>
      <c r="F147" s="4">
        <f t="shared" si="1"/>
        <v>3</v>
      </c>
      <c r="K147" s="4">
        <f>VLOOKUP(C147, Inventory_data!$A$1:$G$86, 5, True)</f>
        <v>0.77</v>
      </c>
    </row>
    <row r="148" ht="14.25" customHeight="1">
      <c r="A148" s="4">
        <v>65.0</v>
      </c>
      <c r="B148" s="5">
        <v>42376.69925925926</v>
      </c>
      <c r="C148" s="4">
        <v>29.0</v>
      </c>
      <c r="D148" s="4" t="str">
        <f>VLOOKUP(C148,inventory,3,true)</f>
        <v>dairy</v>
      </c>
      <c r="E148" s="4">
        <f>IFERROR(__xludf.DUMMYFUNCTION("""COMPUTED_VALUE"""),161.0)</f>
        <v>161</v>
      </c>
      <c r="F148" s="4">
        <f t="shared" si="1"/>
        <v>1</v>
      </c>
      <c r="K148" s="4">
        <f>VLOOKUP(C148, Inventory_data!$A$1:$G$86, 5, True)</f>
        <v>0.63</v>
      </c>
    </row>
    <row r="149" ht="14.25" customHeight="1">
      <c r="A149" s="4">
        <v>65.0</v>
      </c>
      <c r="B149" s="5">
        <v>42376.69925925926</v>
      </c>
      <c r="C149" s="4">
        <v>58.0</v>
      </c>
      <c r="D149" s="4" t="str">
        <f>VLOOKUP(C149,inventory,3,true)</f>
        <v>dry_goods</v>
      </c>
      <c r="E149" s="4">
        <f>IFERROR(__xludf.DUMMYFUNCTION("""COMPUTED_VALUE"""),162.0)</f>
        <v>162</v>
      </c>
      <c r="F149" s="4">
        <f t="shared" si="1"/>
        <v>2</v>
      </c>
      <c r="K149" s="4">
        <f>VLOOKUP(C149, Inventory_data!$A$1:$G$86, 5, True)</f>
        <v>0.96</v>
      </c>
    </row>
    <row r="150" ht="14.25" customHeight="1">
      <c r="A150" s="4">
        <v>66.0</v>
      </c>
      <c r="B150" s="5">
        <v>42377.69762731482</v>
      </c>
      <c r="C150" s="4">
        <v>39.0</v>
      </c>
      <c r="D150" s="4" t="str">
        <f>VLOOKUP(C150,inventory,3,true)</f>
        <v>snacks</v>
      </c>
      <c r="E150" s="4">
        <f>IFERROR(__xludf.DUMMYFUNCTION("""COMPUTED_VALUE"""),163.0)</f>
        <v>163</v>
      </c>
      <c r="F150" s="4">
        <f t="shared" si="1"/>
        <v>6</v>
      </c>
      <c r="K150" s="4">
        <f>VLOOKUP(C150, Inventory_data!$A$1:$G$86, 5, True)</f>
        <v>0.59</v>
      </c>
    </row>
    <row r="151" ht="14.25" customHeight="1">
      <c r="A151" s="4">
        <v>67.0</v>
      </c>
      <c r="B151" s="5">
        <v>42373.79840277778</v>
      </c>
      <c r="C151" s="4">
        <v>55.0</v>
      </c>
      <c r="D151" s="4" t="str">
        <f>VLOOKUP(C151,inventory,3,true)</f>
        <v>dairy</v>
      </c>
      <c r="E151" s="4">
        <f>IFERROR(__xludf.DUMMYFUNCTION("""COMPUTED_VALUE"""),164.0)</f>
        <v>164</v>
      </c>
      <c r="F151" s="4">
        <f t="shared" si="1"/>
        <v>3</v>
      </c>
      <c r="K151" s="4">
        <f>VLOOKUP(C151, Inventory_data!$A$1:$G$86, 5, True)</f>
        <v>1.1</v>
      </c>
    </row>
    <row r="152" ht="14.25" customHeight="1">
      <c r="A152" s="4">
        <v>67.0</v>
      </c>
      <c r="B152" s="5">
        <v>42373.79840277778</v>
      </c>
      <c r="C152" s="4">
        <v>49.0</v>
      </c>
      <c r="D152" s="4" t="str">
        <f>VLOOKUP(C152,inventory,3,true)</f>
        <v>dairy</v>
      </c>
      <c r="E152" s="4">
        <f>IFERROR(__xludf.DUMMYFUNCTION("""COMPUTED_VALUE"""),165.0)</f>
        <v>165</v>
      </c>
      <c r="F152" s="4">
        <f t="shared" si="1"/>
        <v>2</v>
      </c>
      <c r="K152" s="4">
        <f>VLOOKUP(C152, Inventory_data!$A$1:$G$86, 5, True)</f>
        <v>0.67</v>
      </c>
    </row>
    <row r="153" ht="14.25" customHeight="1">
      <c r="A153" s="4">
        <v>67.0</v>
      </c>
      <c r="B153" s="5">
        <v>42373.79840277778</v>
      </c>
      <c r="C153" s="4">
        <v>67.0</v>
      </c>
      <c r="D153" s="4" t="str">
        <f>VLOOKUP(C153,inventory,3,true)</f>
        <v>dry_goods</v>
      </c>
      <c r="E153" s="4">
        <f>IFERROR(__xludf.DUMMYFUNCTION("""COMPUTED_VALUE"""),166.0)</f>
        <v>166</v>
      </c>
      <c r="F153" s="4">
        <f t="shared" si="1"/>
        <v>2</v>
      </c>
      <c r="K153" s="4">
        <f>VLOOKUP(C153, Inventory_data!$A$1:$G$86, 5, True)</f>
        <v>1.74</v>
      </c>
    </row>
    <row r="154" ht="14.25" customHeight="1">
      <c r="A154" s="4">
        <v>68.0</v>
      </c>
      <c r="B154" s="5">
        <v>42372.82399305556</v>
      </c>
      <c r="C154" s="4">
        <v>36.0</v>
      </c>
      <c r="D154" s="4" t="str">
        <f>VLOOKUP(C154,inventory,3,true)</f>
        <v>canned_jarred_goods</v>
      </c>
      <c r="E154" s="4">
        <f>IFERROR(__xludf.DUMMYFUNCTION("""COMPUTED_VALUE"""),167.0)</f>
        <v>167</v>
      </c>
      <c r="F154" s="4">
        <f t="shared" si="1"/>
        <v>1</v>
      </c>
      <c r="K154" s="4">
        <f>VLOOKUP(C154, Inventory_data!$A$1:$G$86, 5, True)</f>
        <v>1.12</v>
      </c>
    </row>
    <row r="155" ht="14.25" customHeight="1">
      <c r="A155" s="4">
        <v>69.0</v>
      </c>
      <c r="B155" s="5">
        <v>42374.38071759259</v>
      </c>
      <c r="C155" s="4">
        <v>82.0</v>
      </c>
      <c r="D155" s="4" t="str">
        <f>VLOOKUP(C155,inventory,3,true)</f>
        <v>dry_goods</v>
      </c>
      <c r="E155" s="4">
        <f>IFERROR(__xludf.DUMMYFUNCTION("""COMPUTED_VALUE"""),168.0)</f>
        <v>168</v>
      </c>
      <c r="F155" s="4">
        <f t="shared" si="1"/>
        <v>2</v>
      </c>
      <c r="K155" s="4">
        <f>VLOOKUP(C155, Inventory_data!$A$1:$G$86, 5, True)</f>
        <v>3.08</v>
      </c>
    </row>
    <row r="156" ht="14.25" customHeight="1">
      <c r="A156" s="4">
        <v>69.0</v>
      </c>
      <c r="B156" s="5">
        <v>42374.38071759259</v>
      </c>
      <c r="C156" s="4">
        <v>55.0</v>
      </c>
      <c r="D156" s="4" t="str">
        <f>VLOOKUP(C156,inventory,3,true)</f>
        <v>dairy</v>
      </c>
      <c r="E156" s="4">
        <f>IFERROR(__xludf.DUMMYFUNCTION("""COMPUTED_VALUE"""),169.0)</f>
        <v>169</v>
      </c>
      <c r="F156" s="4">
        <f t="shared" si="1"/>
        <v>2</v>
      </c>
      <c r="K156" s="4">
        <f>VLOOKUP(C156, Inventory_data!$A$1:$G$86, 5, True)</f>
        <v>1.1</v>
      </c>
    </row>
    <row r="157" ht="14.25" customHeight="1">
      <c r="A157" s="4">
        <v>69.0</v>
      </c>
      <c r="B157" s="5">
        <v>42374.38071759259</v>
      </c>
      <c r="C157" s="4">
        <v>60.0</v>
      </c>
      <c r="D157" s="4" t="str">
        <f>VLOOKUP(C157,inventory,3,true)</f>
        <v>produce</v>
      </c>
      <c r="E157" s="4">
        <f>IFERROR(__xludf.DUMMYFUNCTION("""COMPUTED_VALUE"""),170.0)</f>
        <v>170</v>
      </c>
      <c r="F157" s="4">
        <f t="shared" si="1"/>
        <v>3</v>
      </c>
      <c r="K157" s="4">
        <f>VLOOKUP(C157, Inventory_data!$A$1:$G$86, 5, True)</f>
        <v>2.06</v>
      </c>
    </row>
    <row r="158" ht="14.25" customHeight="1">
      <c r="A158" s="4">
        <v>69.0</v>
      </c>
      <c r="B158" s="5">
        <v>42374.38071759259</v>
      </c>
      <c r="C158" s="4">
        <v>62.0</v>
      </c>
      <c r="D158" s="4" t="str">
        <f>VLOOKUP(C158,inventory,3,true)</f>
        <v>dry_goods</v>
      </c>
      <c r="E158" s="4">
        <f>IFERROR(__xludf.DUMMYFUNCTION("""COMPUTED_VALUE"""),171.0)</f>
        <v>171</v>
      </c>
      <c r="F158" s="4">
        <f t="shared" si="1"/>
        <v>3</v>
      </c>
      <c r="K158" s="4">
        <f>VLOOKUP(C158, Inventory_data!$A$1:$G$86, 5, True)</f>
        <v>1.17</v>
      </c>
    </row>
    <row r="159" ht="14.25" customHeight="1">
      <c r="A159" s="4">
        <v>70.0</v>
      </c>
      <c r="B159" s="5">
        <v>42375.495046296295</v>
      </c>
      <c r="C159" s="4">
        <v>21.0</v>
      </c>
      <c r="D159" s="4" t="str">
        <f>VLOOKUP(C159,inventory,3,true)</f>
        <v>snacks</v>
      </c>
      <c r="E159" s="4">
        <f>IFERROR(__xludf.DUMMYFUNCTION("""COMPUTED_VALUE"""),172.0)</f>
        <v>172</v>
      </c>
      <c r="F159" s="4">
        <f t="shared" si="1"/>
        <v>2</v>
      </c>
      <c r="K159" s="4">
        <f>VLOOKUP(C159, Inventory_data!$A$1:$G$86, 5, True)</f>
        <v>2.59</v>
      </c>
    </row>
    <row r="160" ht="14.25" customHeight="1">
      <c r="A160" s="4">
        <v>70.0</v>
      </c>
      <c r="B160" s="5">
        <v>42375.495046296295</v>
      </c>
      <c r="C160" s="4">
        <v>81.0</v>
      </c>
      <c r="D160" s="4" t="str">
        <f>VLOOKUP(C160,inventory,3,true)</f>
        <v>dry_goods</v>
      </c>
      <c r="E160" s="4">
        <f>IFERROR(__xludf.DUMMYFUNCTION("""COMPUTED_VALUE"""),173.0)</f>
        <v>173</v>
      </c>
      <c r="F160" s="4">
        <f t="shared" si="1"/>
        <v>3</v>
      </c>
      <c r="K160" s="4">
        <f>VLOOKUP(C160, Inventory_data!$A$1:$G$86, 5, True)</f>
        <v>2.99</v>
      </c>
    </row>
    <row r="161" ht="14.25" customHeight="1">
      <c r="A161" s="4">
        <v>70.0</v>
      </c>
      <c r="B161" s="5">
        <v>42375.495046296295</v>
      </c>
      <c r="C161" s="4">
        <v>56.0</v>
      </c>
      <c r="D161" s="4" t="str">
        <f>VLOOKUP(C161,inventory,3,true)</f>
        <v>dry_goods</v>
      </c>
      <c r="E161" s="4">
        <f>IFERROR(__xludf.DUMMYFUNCTION("""COMPUTED_VALUE"""),174.0)</f>
        <v>174</v>
      </c>
      <c r="F161" s="4">
        <f t="shared" si="1"/>
        <v>3</v>
      </c>
      <c r="K161" s="4">
        <f>VLOOKUP(C161, Inventory_data!$A$1:$G$86, 5, True)</f>
        <v>0.86</v>
      </c>
    </row>
    <row r="162" ht="14.25" customHeight="1">
      <c r="A162" s="4">
        <v>71.0</v>
      </c>
      <c r="B162" s="5">
        <v>42373.468356481484</v>
      </c>
      <c r="C162" s="4">
        <v>74.0</v>
      </c>
      <c r="D162" s="4" t="str">
        <f>VLOOKUP(C162,inventory,3,true)</f>
        <v>snacks</v>
      </c>
      <c r="E162" s="4">
        <f>IFERROR(__xludf.DUMMYFUNCTION("""COMPUTED_VALUE"""),175.0)</f>
        <v>175</v>
      </c>
      <c r="F162" s="4">
        <f t="shared" si="1"/>
        <v>3</v>
      </c>
      <c r="K162" s="4">
        <f>VLOOKUP(C162, Inventory_data!$A$1:$G$86, 5, True)</f>
        <v>0.75</v>
      </c>
    </row>
    <row r="163" ht="14.25" customHeight="1">
      <c r="A163" s="4">
        <v>72.0</v>
      </c>
      <c r="B163" s="5">
        <v>42375.80181712963</v>
      </c>
      <c r="C163" s="4">
        <v>30.0</v>
      </c>
      <c r="D163" s="4" t="str">
        <f>VLOOKUP(C163,inventory,3,true)</f>
        <v>dairy</v>
      </c>
      <c r="E163" s="4">
        <f>IFERROR(__xludf.DUMMYFUNCTION("""COMPUTED_VALUE"""),176.0)</f>
        <v>176</v>
      </c>
      <c r="F163" s="4">
        <f t="shared" si="1"/>
        <v>4</v>
      </c>
      <c r="K163" s="4">
        <f>VLOOKUP(C163, Inventory_data!$A$1:$G$86, 5, True)</f>
        <v>0.91</v>
      </c>
    </row>
    <row r="164" ht="14.25" customHeight="1">
      <c r="A164" s="4">
        <v>72.0</v>
      </c>
      <c r="B164" s="5">
        <v>42375.80181712963</v>
      </c>
      <c r="C164" s="4">
        <v>19.0</v>
      </c>
      <c r="D164" s="4" t="str">
        <f>VLOOKUP(C164,inventory,3,true)</f>
        <v>snacks</v>
      </c>
      <c r="E164" s="4">
        <f>IFERROR(__xludf.DUMMYFUNCTION("""COMPUTED_VALUE"""),177.0)</f>
        <v>177</v>
      </c>
      <c r="F164" s="4">
        <f t="shared" si="1"/>
        <v>3</v>
      </c>
      <c r="K164" s="4">
        <f>VLOOKUP(C164, Inventory_data!$A$1:$G$86, 5, True)</f>
        <v>0.41</v>
      </c>
    </row>
    <row r="165" ht="14.25" customHeight="1">
      <c r="A165" s="4">
        <v>72.0</v>
      </c>
      <c r="B165" s="5">
        <v>42375.80181712963</v>
      </c>
      <c r="C165" s="4">
        <v>67.0</v>
      </c>
      <c r="D165" s="4" t="str">
        <f>VLOOKUP(C165,inventory,3,true)</f>
        <v>dry_goods</v>
      </c>
      <c r="E165" s="4">
        <f>IFERROR(__xludf.DUMMYFUNCTION("""COMPUTED_VALUE"""),178.0)</f>
        <v>178</v>
      </c>
      <c r="F165" s="4">
        <f t="shared" si="1"/>
        <v>2</v>
      </c>
      <c r="K165" s="4">
        <f>VLOOKUP(C165, Inventory_data!$A$1:$G$86, 5, True)</f>
        <v>1.74</v>
      </c>
    </row>
    <row r="166" ht="14.25" customHeight="1">
      <c r="A166" s="4">
        <v>72.0</v>
      </c>
      <c r="B166" s="5">
        <v>42375.80181712963</v>
      </c>
      <c r="C166" s="4">
        <v>42.0</v>
      </c>
      <c r="D166" s="4" t="str">
        <f>VLOOKUP(C166,inventory,3,true)</f>
        <v>produce</v>
      </c>
      <c r="E166" s="4">
        <f>IFERROR(__xludf.DUMMYFUNCTION("""COMPUTED_VALUE"""),179.0)</f>
        <v>179</v>
      </c>
      <c r="F166" s="4">
        <f t="shared" si="1"/>
        <v>2</v>
      </c>
      <c r="K166" s="4">
        <f>VLOOKUP(C166, Inventory_data!$A$1:$G$86, 5, True)</f>
        <v>5.99</v>
      </c>
    </row>
    <row r="167" ht="14.25" customHeight="1">
      <c r="A167" s="4">
        <v>73.0</v>
      </c>
      <c r="B167" s="5">
        <v>42376.49784722222</v>
      </c>
      <c r="C167" s="4">
        <v>81.0</v>
      </c>
      <c r="D167" s="4" t="str">
        <f>VLOOKUP(C167,inventory,3,true)</f>
        <v>dry_goods</v>
      </c>
      <c r="E167" s="4">
        <f>IFERROR(__xludf.DUMMYFUNCTION("""COMPUTED_VALUE"""),180.0)</f>
        <v>180</v>
      </c>
      <c r="F167" s="4">
        <f t="shared" si="1"/>
        <v>1</v>
      </c>
      <c r="K167" s="4">
        <f>VLOOKUP(C167, Inventory_data!$A$1:$G$86, 5, True)</f>
        <v>2.99</v>
      </c>
    </row>
    <row r="168" ht="14.25" customHeight="1">
      <c r="A168" s="4">
        <v>73.0</v>
      </c>
      <c r="B168" s="5">
        <v>42376.49784722222</v>
      </c>
      <c r="C168" s="4">
        <v>24.0</v>
      </c>
      <c r="D168" s="4" t="str">
        <f>VLOOKUP(C168,inventory,3,true)</f>
        <v>dry_goods</v>
      </c>
      <c r="E168" s="4">
        <f>IFERROR(__xludf.DUMMYFUNCTION("""COMPUTED_VALUE"""),182.0)</f>
        <v>182</v>
      </c>
      <c r="F168" s="4">
        <f t="shared" si="1"/>
        <v>3</v>
      </c>
      <c r="K168" s="4">
        <f>VLOOKUP(C168, Inventory_data!$A$1:$G$86, 5, True)</f>
        <v>0.56</v>
      </c>
    </row>
    <row r="169" ht="14.25" customHeight="1">
      <c r="A169" s="4">
        <v>73.0</v>
      </c>
      <c r="B169" s="5">
        <v>42376.49784722222</v>
      </c>
      <c r="C169" s="4">
        <v>20.0</v>
      </c>
      <c r="D169" s="4" t="str">
        <f>VLOOKUP(C169,inventory,3,true)</f>
        <v>snacks</v>
      </c>
      <c r="E169" s="4">
        <f>IFERROR(__xludf.DUMMYFUNCTION("""COMPUTED_VALUE"""),183.0)</f>
        <v>183</v>
      </c>
      <c r="F169" s="4">
        <f t="shared" si="1"/>
        <v>1</v>
      </c>
      <c r="K169" s="4">
        <f>VLOOKUP(C169, Inventory_data!$A$1:$G$86, 5, True)</f>
        <v>1.11</v>
      </c>
    </row>
    <row r="170" ht="14.25" customHeight="1">
      <c r="A170" s="4">
        <v>74.0</v>
      </c>
      <c r="B170" s="5">
        <v>42376.82582175926</v>
      </c>
      <c r="C170" s="4">
        <v>21.0</v>
      </c>
      <c r="D170" s="4" t="str">
        <f>VLOOKUP(C170,inventory,3,true)</f>
        <v>snacks</v>
      </c>
      <c r="E170" s="4">
        <f>IFERROR(__xludf.DUMMYFUNCTION("""COMPUTED_VALUE"""),184.0)</f>
        <v>184</v>
      </c>
      <c r="F170" s="4">
        <f t="shared" si="1"/>
        <v>1</v>
      </c>
      <c r="K170" s="4">
        <f>VLOOKUP(C170, Inventory_data!$A$1:$G$86, 5, True)</f>
        <v>2.59</v>
      </c>
    </row>
    <row r="171" ht="14.25" customHeight="1">
      <c r="A171" s="4">
        <v>74.0</v>
      </c>
      <c r="B171" s="5">
        <v>42376.82582175926</v>
      </c>
      <c r="C171" s="4">
        <v>36.0</v>
      </c>
      <c r="D171" s="4" t="str">
        <f>VLOOKUP(C171,inventory,3,true)</f>
        <v>canned_jarred_goods</v>
      </c>
      <c r="E171" s="4">
        <f>IFERROR(__xludf.DUMMYFUNCTION("""COMPUTED_VALUE"""),185.0)</f>
        <v>185</v>
      </c>
      <c r="F171" s="4">
        <f t="shared" si="1"/>
        <v>2</v>
      </c>
      <c r="K171" s="4">
        <f>VLOOKUP(C171, Inventory_data!$A$1:$G$86, 5, True)</f>
        <v>1.12</v>
      </c>
    </row>
    <row r="172" ht="14.25" customHeight="1">
      <c r="A172" s="4">
        <v>75.0</v>
      </c>
      <c r="B172" s="5">
        <v>42373.56760416667</v>
      </c>
      <c r="C172" s="4">
        <v>11.0</v>
      </c>
      <c r="D172" s="4" t="str">
        <f>VLOOKUP(C172,inventory,3,true)</f>
        <v>produce</v>
      </c>
      <c r="E172" s="4">
        <f>IFERROR(__xludf.DUMMYFUNCTION("""COMPUTED_VALUE"""),186.0)</f>
        <v>186</v>
      </c>
      <c r="F172" s="4">
        <f t="shared" si="1"/>
        <v>2</v>
      </c>
      <c r="K172" s="4">
        <f>VLOOKUP(C172, Inventory_data!$A$1:$G$86, 5, True)</f>
        <v>4.89</v>
      </c>
    </row>
    <row r="173" ht="14.25" customHeight="1">
      <c r="A173" s="4">
        <v>75.0</v>
      </c>
      <c r="B173" s="5">
        <v>42373.56760416667</v>
      </c>
      <c r="C173" s="4">
        <v>72.0</v>
      </c>
      <c r="D173" s="4" t="str">
        <f>VLOOKUP(C173,inventory,3,true)</f>
        <v>dry_goods</v>
      </c>
      <c r="E173" s="4">
        <f>IFERROR(__xludf.DUMMYFUNCTION("""COMPUTED_VALUE"""),187.0)</f>
        <v>187</v>
      </c>
      <c r="F173" s="4">
        <f t="shared" si="1"/>
        <v>4</v>
      </c>
      <c r="K173" s="4">
        <f>VLOOKUP(C173, Inventory_data!$A$1:$G$86, 5, True)</f>
        <v>0.27</v>
      </c>
    </row>
    <row r="174" ht="14.25" customHeight="1">
      <c r="A174" s="4">
        <v>76.0</v>
      </c>
      <c r="B174" s="5">
        <v>42375.51398148148</v>
      </c>
      <c r="C174" s="4">
        <v>57.0</v>
      </c>
      <c r="D174" s="4" t="str">
        <f>VLOOKUP(C174,inventory,3,true)</f>
        <v>produce</v>
      </c>
      <c r="E174" s="4">
        <f>IFERROR(__xludf.DUMMYFUNCTION("""COMPUTED_VALUE"""),188.0)</f>
        <v>188</v>
      </c>
      <c r="F174" s="4">
        <f t="shared" si="1"/>
        <v>1</v>
      </c>
      <c r="K174" s="4">
        <f>VLOOKUP(C174, Inventory_data!$A$1:$G$86, 5, True)</f>
        <v>3.6</v>
      </c>
    </row>
    <row r="175" ht="14.25" customHeight="1">
      <c r="A175" s="4">
        <v>76.0</v>
      </c>
      <c r="B175" s="5">
        <v>42375.51398148148</v>
      </c>
      <c r="C175" s="4">
        <v>73.0</v>
      </c>
      <c r="D175" s="4" t="str">
        <f>VLOOKUP(C175,inventory,3,true)</f>
        <v>snacks</v>
      </c>
      <c r="E175" s="4">
        <f>IFERROR(__xludf.DUMMYFUNCTION("""COMPUTED_VALUE"""),190.0)</f>
        <v>190</v>
      </c>
      <c r="F175" s="4">
        <f t="shared" si="1"/>
        <v>5</v>
      </c>
      <c r="K175" s="4">
        <f>VLOOKUP(C175, Inventory_data!$A$1:$G$86, 5, True)</f>
        <v>0.69</v>
      </c>
    </row>
    <row r="176" ht="14.25" customHeight="1">
      <c r="A176" s="4">
        <v>77.0</v>
      </c>
      <c r="B176" s="5">
        <v>42375.59993055555</v>
      </c>
      <c r="C176" s="4">
        <v>28.0</v>
      </c>
      <c r="D176" s="4" t="str">
        <f>VLOOKUP(C176,inventory,3,true)</f>
        <v>dry_goods</v>
      </c>
      <c r="E176" s="4">
        <f>IFERROR(__xludf.DUMMYFUNCTION("""COMPUTED_VALUE"""),191.0)</f>
        <v>191</v>
      </c>
      <c r="F176" s="4">
        <f t="shared" si="1"/>
        <v>2</v>
      </c>
      <c r="K176" s="4">
        <f>VLOOKUP(C176, Inventory_data!$A$1:$G$86, 5, True)</f>
        <v>0.69</v>
      </c>
    </row>
    <row r="177" ht="14.25" customHeight="1">
      <c r="A177" s="4">
        <v>78.0</v>
      </c>
      <c r="B177" s="5">
        <v>42375.37744212963</v>
      </c>
      <c r="C177" s="4">
        <v>76.0</v>
      </c>
      <c r="D177" s="4" t="str">
        <f>VLOOKUP(C177,inventory,3,true)</f>
        <v>snacks</v>
      </c>
      <c r="E177" s="4">
        <f>IFERROR(__xludf.DUMMYFUNCTION("""COMPUTED_VALUE"""),192.0)</f>
        <v>192</v>
      </c>
      <c r="F177" s="4">
        <f t="shared" si="1"/>
        <v>2</v>
      </c>
      <c r="K177" s="4">
        <f>VLOOKUP(C177, Inventory_data!$A$1:$G$86, 5, True)</f>
        <v>0.69</v>
      </c>
    </row>
    <row r="178" ht="14.25" customHeight="1">
      <c r="A178" s="4">
        <v>78.0</v>
      </c>
      <c r="B178" s="5">
        <v>42375.37744212963</v>
      </c>
      <c r="C178" s="4">
        <v>25.0</v>
      </c>
      <c r="D178" s="4" t="str">
        <f>VLOOKUP(C178,inventory,3,true)</f>
        <v>meat</v>
      </c>
      <c r="E178" s="4">
        <f>IFERROR(__xludf.DUMMYFUNCTION("""COMPUTED_VALUE"""),193.0)</f>
        <v>193</v>
      </c>
      <c r="F178" s="4">
        <f t="shared" si="1"/>
        <v>2</v>
      </c>
      <c r="K178" s="4">
        <f>VLOOKUP(C178, Inventory_data!$A$1:$G$86, 5, True)</f>
        <v>39.99</v>
      </c>
    </row>
    <row r="179" ht="14.25" customHeight="1">
      <c r="A179" s="4">
        <v>78.0</v>
      </c>
      <c r="B179" s="5">
        <v>42375.37744212963</v>
      </c>
      <c r="C179" s="4">
        <v>2.0</v>
      </c>
      <c r="D179" s="4" t="str">
        <f>VLOOKUP(C179,inventory,3,true)</f>
        <v>produce</v>
      </c>
      <c r="E179" s="4">
        <f>IFERROR(__xludf.DUMMYFUNCTION("""COMPUTED_VALUE"""),194.0)</f>
        <v>194</v>
      </c>
      <c r="F179" s="4">
        <f t="shared" si="1"/>
        <v>3</v>
      </c>
      <c r="K179" s="4">
        <f>VLOOKUP(C179, Inventory_data!$A$1:$G$86, 5, True)</f>
        <v>1.44</v>
      </c>
    </row>
    <row r="180" ht="14.25" customHeight="1">
      <c r="A180" s="4">
        <v>78.0</v>
      </c>
      <c r="B180" s="5">
        <v>42375.37744212963</v>
      </c>
      <c r="C180" s="4">
        <v>12.0</v>
      </c>
      <c r="D180" s="4" t="str">
        <f>VLOOKUP(C180,inventory,3,true)</f>
        <v>dairy</v>
      </c>
      <c r="E180" s="4">
        <f>IFERROR(__xludf.DUMMYFUNCTION("""COMPUTED_VALUE"""),195.0)</f>
        <v>195</v>
      </c>
      <c r="F180" s="4">
        <f t="shared" si="1"/>
        <v>4</v>
      </c>
      <c r="K180" s="4">
        <f>VLOOKUP(C180, Inventory_data!$A$1:$G$86, 5, True)</f>
        <v>1.15</v>
      </c>
    </row>
    <row r="181" ht="14.25" customHeight="1">
      <c r="A181" s="4">
        <v>79.0</v>
      </c>
      <c r="B181" s="5">
        <v>42374.82194444445</v>
      </c>
      <c r="C181" s="4">
        <v>9.0</v>
      </c>
      <c r="D181" s="4" t="str">
        <f>VLOOKUP(C181,inventory,3,true)</f>
        <v>produce</v>
      </c>
      <c r="E181" s="4">
        <f>IFERROR(__xludf.DUMMYFUNCTION("""COMPUTED_VALUE"""),196.0)</f>
        <v>196</v>
      </c>
      <c r="F181" s="4">
        <f t="shared" si="1"/>
        <v>1</v>
      </c>
      <c r="K181" s="4">
        <f>VLOOKUP(C181, Inventory_data!$A$1:$G$86, 5, True)</f>
        <v>0.96</v>
      </c>
    </row>
    <row r="182" ht="14.25" customHeight="1">
      <c r="A182" s="4">
        <v>79.0</v>
      </c>
      <c r="B182" s="5">
        <v>42374.82194444445</v>
      </c>
      <c r="C182" s="4">
        <v>10.0</v>
      </c>
      <c r="D182" s="4" t="str">
        <f>VLOOKUP(C182,inventory,3,true)</f>
        <v>produce</v>
      </c>
      <c r="E182" s="4">
        <f>IFERROR(__xludf.DUMMYFUNCTION("""COMPUTED_VALUE"""),199.0)</f>
        <v>199</v>
      </c>
      <c r="F182" s="4">
        <f t="shared" si="1"/>
        <v>2</v>
      </c>
      <c r="K182" s="4">
        <f>VLOOKUP(C182, Inventory_data!$A$1:$G$86, 5, True)</f>
        <v>0.96</v>
      </c>
    </row>
    <row r="183" ht="14.25" customHeight="1">
      <c r="A183" s="4">
        <v>79.0</v>
      </c>
      <c r="B183" s="5">
        <v>42374.82194444445</v>
      </c>
      <c r="C183" s="4">
        <v>16.0</v>
      </c>
      <c r="D183" s="4" t="str">
        <f>VLOOKUP(C183,inventory,3,true)</f>
        <v>snacks</v>
      </c>
      <c r="E183" s="4">
        <f>IFERROR(__xludf.DUMMYFUNCTION("""COMPUTED_VALUE"""),200.0)</f>
        <v>200</v>
      </c>
      <c r="F183" s="4">
        <f t="shared" si="1"/>
        <v>1</v>
      </c>
      <c r="K183" s="4">
        <f>VLOOKUP(C183, Inventory_data!$A$1:$G$86, 5, True)</f>
        <v>2.43</v>
      </c>
    </row>
    <row r="184" ht="14.25" customHeight="1">
      <c r="A184" s="4">
        <v>81.0</v>
      </c>
      <c r="B184" s="5">
        <v>42372.38883101852</v>
      </c>
      <c r="C184" s="4">
        <v>65.0</v>
      </c>
      <c r="D184" s="4" t="str">
        <f>VLOOKUP(C184,inventory,3,true)</f>
        <v>produce</v>
      </c>
      <c r="E184" s="4">
        <f>IFERROR(__xludf.DUMMYFUNCTION("""COMPUTED_VALUE"""),201.0)</f>
        <v>201</v>
      </c>
      <c r="F184" s="4">
        <f t="shared" si="1"/>
        <v>2</v>
      </c>
      <c r="K184" s="4">
        <f>VLOOKUP(C184, Inventory_data!$A$1:$G$86, 5, True)</f>
        <v>1.32</v>
      </c>
    </row>
    <row r="185" ht="14.25" customHeight="1">
      <c r="A185" s="4">
        <v>82.0</v>
      </c>
      <c r="B185" s="5">
        <v>42373.754953703705</v>
      </c>
      <c r="C185" s="4">
        <v>17.0</v>
      </c>
      <c r="D185" s="4" t="str">
        <f>VLOOKUP(C185,inventory,3,true)</f>
        <v>other</v>
      </c>
      <c r="E185" s="4">
        <f>IFERROR(__xludf.DUMMYFUNCTION("""COMPUTED_VALUE"""),202.0)</f>
        <v>202</v>
      </c>
      <c r="F185" s="4">
        <f t="shared" si="1"/>
        <v>3</v>
      </c>
      <c r="K185" s="4">
        <f>VLOOKUP(C185, Inventory_data!$A$1:$G$86, 5, True)</f>
        <v>2.67</v>
      </c>
    </row>
    <row r="186" ht="14.25" customHeight="1">
      <c r="A186" s="4">
        <v>82.0</v>
      </c>
      <c r="B186" s="5">
        <v>42373.754953703705</v>
      </c>
      <c r="C186" s="4">
        <v>20.0</v>
      </c>
      <c r="D186" s="4" t="str">
        <f>VLOOKUP(C186,inventory,3,true)</f>
        <v>snacks</v>
      </c>
      <c r="E186" s="4">
        <f>IFERROR(__xludf.DUMMYFUNCTION("""COMPUTED_VALUE"""),203.0)</f>
        <v>203</v>
      </c>
      <c r="F186" s="4">
        <f t="shared" si="1"/>
        <v>3</v>
      </c>
      <c r="K186" s="4">
        <f>VLOOKUP(C186, Inventory_data!$A$1:$G$86, 5, True)</f>
        <v>1.11</v>
      </c>
    </row>
    <row r="187" ht="14.25" customHeight="1">
      <c r="A187" s="4">
        <v>82.0</v>
      </c>
      <c r="B187" s="5">
        <v>42373.754953703705</v>
      </c>
      <c r="C187" s="4">
        <v>14.0</v>
      </c>
      <c r="D187" s="4" t="str">
        <f>VLOOKUP(C187,inventory,3,true)</f>
        <v>snacks</v>
      </c>
      <c r="E187" s="4">
        <f>IFERROR(__xludf.DUMMYFUNCTION("""COMPUTED_VALUE"""),204.0)</f>
        <v>204</v>
      </c>
      <c r="F187" s="4">
        <f t="shared" si="1"/>
        <v>3</v>
      </c>
      <c r="K187" s="4">
        <f>VLOOKUP(C187, Inventory_data!$A$1:$G$86, 5, True)</f>
        <v>0.53</v>
      </c>
    </row>
    <row r="188" ht="14.25" customHeight="1">
      <c r="A188" s="4">
        <v>82.0</v>
      </c>
      <c r="B188" s="5">
        <v>42373.754953703705</v>
      </c>
      <c r="C188" s="4">
        <v>27.0</v>
      </c>
      <c r="D188" s="4" t="str">
        <f>VLOOKUP(C188,inventory,3,true)</f>
        <v>other</v>
      </c>
      <c r="E188" s="4">
        <f>IFERROR(__xludf.DUMMYFUNCTION("""COMPUTED_VALUE"""),205.0)</f>
        <v>205</v>
      </c>
      <c r="F188" s="4">
        <f t="shared" si="1"/>
        <v>2</v>
      </c>
      <c r="K188" s="4">
        <f>VLOOKUP(C188, Inventory_data!$A$1:$G$86, 5, True)</f>
        <v>6</v>
      </c>
    </row>
    <row r="189" ht="14.25" customHeight="1">
      <c r="A189" s="4">
        <v>83.0</v>
      </c>
      <c r="B189" s="5">
        <v>42377.540347222224</v>
      </c>
      <c r="C189" s="4">
        <v>60.0</v>
      </c>
      <c r="D189" s="4" t="str">
        <f>VLOOKUP(C189,inventory,3,true)</f>
        <v>produce</v>
      </c>
      <c r="E189" s="4">
        <f>IFERROR(__xludf.DUMMYFUNCTION("""COMPUTED_VALUE"""),206.0)</f>
        <v>206</v>
      </c>
      <c r="F189" s="4">
        <f t="shared" si="1"/>
        <v>1</v>
      </c>
      <c r="K189" s="4">
        <f>VLOOKUP(C189, Inventory_data!$A$1:$G$86, 5, True)</f>
        <v>2.06</v>
      </c>
    </row>
    <row r="190" ht="14.25" customHeight="1">
      <c r="A190" s="4">
        <v>84.0</v>
      </c>
      <c r="B190" s="5">
        <v>42377.83322916667</v>
      </c>
      <c r="C190" s="4">
        <v>67.0</v>
      </c>
      <c r="D190" s="4" t="str">
        <f>VLOOKUP(C190,inventory,3,true)</f>
        <v>dry_goods</v>
      </c>
      <c r="E190" s="4">
        <f>IFERROR(__xludf.DUMMYFUNCTION("""COMPUTED_VALUE"""),207.0)</f>
        <v>207</v>
      </c>
      <c r="F190" s="4">
        <f t="shared" si="1"/>
        <v>4</v>
      </c>
      <c r="K190" s="4">
        <f>VLOOKUP(C190, Inventory_data!$A$1:$G$86, 5, True)</f>
        <v>1.74</v>
      </c>
    </row>
    <row r="191" ht="14.25" customHeight="1">
      <c r="A191" s="4">
        <v>84.0</v>
      </c>
      <c r="B191" s="5">
        <v>42377.83322916667</v>
      </c>
      <c r="C191" s="4">
        <v>77.0</v>
      </c>
      <c r="D191" s="4" t="str">
        <f>VLOOKUP(C191,inventory,3,true)</f>
        <v>produce</v>
      </c>
      <c r="E191" s="4">
        <f>IFERROR(__xludf.DUMMYFUNCTION("""COMPUTED_VALUE"""),209.0)</f>
        <v>209</v>
      </c>
      <c r="F191" s="4">
        <f t="shared" si="1"/>
        <v>3</v>
      </c>
      <c r="K191" s="4">
        <f>VLOOKUP(C191, Inventory_data!$A$1:$G$86, 5, True)</f>
        <v>2.67</v>
      </c>
    </row>
    <row r="192" ht="14.25" customHeight="1">
      <c r="A192" s="4">
        <v>85.0</v>
      </c>
      <c r="B192" s="5">
        <v>42376.54054398148</v>
      </c>
      <c r="C192" s="4">
        <v>79.0</v>
      </c>
      <c r="D192" s="4" t="str">
        <f>VLOOKUP(C192,inventory,3,true)</f>
        <v>dry_goods</v>
      </c>
      <c r="E192" s="4">
        <f>IFERROR(__xludf.DUMMYFUNCTION("""COMPUTED_VALUE"""),210.0)</f>
        <v>210</v>
      </c>
      <c r="F192" s="4">
        <f t="shared" si="1"/>
        <v>3</v>
      </c>
      <c r="K192" s="4">
        <f>VLOOKUP(C192, Inventory_data!$A$1:$G$86, 5, True)</f>
        <v>3.3</v>
      </c>
    </row>
    <row r="193" ht="14.25" customHeight="1">
      <c r="A193" s="4">
        <v>85.0</v>
      </c>
      <c r="B193" s="5">
        <v>42376.54054398148</v>
      </c>
      <c r="C193" s="4">
        <v>81.0</v>
      </c>
      <c r="D193" s="4" t="str">
        <f>VLOOKUP(C193,inventory,3,true)</f>
        <v>dry_goods</v>
      </c>
      <c r="E193" s="4">
        <f>IFERROR(__xludf.DUMMYFUNCTION("""COMPUTED_VALUE"""),211.0)</f>
        <v>211</v>
      </c>
      <c r="F193" s="4">
        <f t="shared" si="1"/>
        <v>3</v>
      </c>
      <c r="K193" s="4">
        <f>VLOOKUP(C193, Inventory_data!$A$1:$G$86, 5, True)</f>
        <v>2.99</v>
      </c>
    </row>
    <row r="194" ht="14.25" customHeight="1">
      <c r="A194" s="4">
        <v>86.0</v>
      </c>
      <c r="B194" s="5">
        <v>42376.40244212963</v>
      </c>
      <c r="C194" s="4">
        <v>9.0</v>
      </c>
      <c r="D194" s="4" t="str">
        <f>VLOOKUP(C194,inventory,3,true)</f>
        <v>produce</v>
      </c>
      <c r="E194" s="4">
        <f>IFERROR(__xludf.DUMMYFUNCTION("""COMPUTED_VALUE"""),212.0)</f>
        <v>212</v>
      </c>
      <c r="F194" s="4">
        <f t="shared" si="1"/>
        <v>1</v>
      </c>
      <c r="K194" s="4">
        <f>VLOOKUP(C194, Inventory_data!$A$1:$G$86, 5, True)</f>
        <v>0.96</v>
      </c>
    </row>
    <row r="195" ht="14.25" customHeight="1">
      <c r="A195" s="4">
        <v>86.0</v>
      </c>
      <c r="B195" s="5">
        <v>42376.40244212963</v>
      </c>
      <c r="C195" s="4">
        <v>42.0</v>
      </c>
      <c r="D195" s="4" t="str">
        <f>VLOOKUP(C195,inventory,3,true)</f>
        <v>produce</v>
      </c>
      <c r="E195" s="4">
        <f>IFERROR(__xludf.DUMMYFUNCTION("""COMPUTED_VALUE"""),213.0)</f>
        <v>213</v>
      </c>
      <c r="F195" s="4">
        <f t="shared" si="1"/>
        <v>3</v>
      </c>
      <c r="K195" s="4">
        <f>VLOOKUP(C195, Inventory_data!$A$1:$G$86, 5, True)</f>
        <v>5.99</v>
      </c>
    </row>
    <row r="196" ht="14.25" customHeight="1">
      <c r="A196" s="4">
        <v>86.0</v>
      </c>
      <c r="B196" s="5">
        <v>42376.40244212963</v>
      </c>
      <c r="C196" s="4">
        <v>69.0</v>
      </c>
      <c r="D196" s="4" t="str">
        <f>VLOOKUP(C196,inventory,3,true)</f>
        <v>dry_goods</v>
      </c>
      <c r="E196" s="4">
        <f>IFERROR(__xludf.DUMMYFUNCTION("""COMPUTED_VALUE"""),214.0)</f>
        <v>214</v>
      </c>
      <c r="F196" s="4">
        <f t="shared" si="1"/>
        <v>4</v>
      </c>
      <c r="K196" s="4">
        <f>VLOOKUP(C196, Inventory_data!$A$1:$G$86, 5, True)</f>
        <v>0.27</v>
      </c>
    </row>
    <row r="197" ht="14.25" customHeight="1">
      <c r="A197" s="4">
        <v>86.0</v>
      </c>
      <c r="B197" s="5">
        <v>42376.40244212963</v>
      </c>
      <c r="C197" s="4">
        <v>76.0</v>
      </c>
      <c r="D197" s="4" t="str">
        <f>VLOOKUP(C197,inventory,3,true)</f>
        <v>snacks</v>
      </c>
      <c r="E197" s="4">
        <f>IFERROR(__xludf.DUMMYFUNCTION("""COMPUTED_VALUE"""),215.0)</f>
        <v>215</v>
      </c>
      <c r="F197" s="4">
        <f t="shared" si="1"/>
        <v>2</v>
      </c>
      <c r="K197" s="4">
        <f>VLOOKUP(C197, Inventory_data!$A$1:$G$86, 5, True)</f>
        <v>0.69</v>
      </c>
    </row>
    <row r="198" ht="14.25" customHeight="1">
      <c r="A198" s="4">
        <v>87.0</v>
      </c>
      <c r="B198" s="5">
        <v>42374.49829861111</v>
      </c>
      <c r="C198" s="4">
        <v>63.0</v>
      </c>
      <c r="D198" s="4" t="str">
        <f>VLOOKUP(C198,inventory,3,true)</f>
        <v>produce</v>
      </c>
      <c r="E198" s="4">
        <f>IFERROR(__xludf.DUMMYFUNCTION("""COMPUTED_VALUE"""),216.0)</f>
        <v>216</v>
      </c>
      <c r="F198" s="4">
        <f t="shared" si="1"/>
        <v>5</v>
      </c>
      <c r="K198" s="4">
        <f>VLOOKUP(C198, Inventory_data!$A$1:$G$86, 5, True)</f>
        <v>3.57</v>
      </c>
    </row>
    <row r="199" ht="14.25" customHeight="1">
      <c r="A199" s="4">
        <v>87.0</v>
      </c>
      <c r="B199" s="5">
        <v>42374.49829861111</v>
      </c>
      <c r="C199" s="4">
        <v>78.0</v>
      </c>
      <c r="D199" s="4" t="str">
        <f>VLOOKUP(C199,inventory,3,true)</f>
        <v>dry_goods</v>
      </c>
      <c r="E199" s="4">
        <f>IFERROR(__xludf.DUMMYFUNCTION("""COMPUTED_VALUE"""),217.0)</f>
        <v>217</v>
      </c>
      <c r="F199" s="4">
        <f t="shared" si="1"/>
        <v>3</v>
      </c>
      <c r="K199" s="4">
        <f>VLOOKUP(C199, Inventory_data!$A$1:$G$86, 5, True)</f>
        <v>1.44</v>
      </c>
    </row>
    <row r="200" ht="14.25" customHeight="1">
      <c r="A200" s="4">
        <v>88.0</v>
      </c>
      <c r="B200" s="5">
        <v>42373.67298611111</v>
      </c>
      <c r="C200" s="4">
        <v>82.0</v>
      </c>
      <c r="D200" s="4" t="str">
        <f>VLOOKUP(C200,inventory,3,true)</f>
        <v>dry_goods</v>
      </c>
      <c r="E200" s="4">
        <f>IFERROR(__xludf.DUMMYFUNCTION("""COMPUTED_VALUE"""),218.0)</f>
        <v>218</v>
      </c>
      <c r="F200" s="4">
        <f t="shared" si="1"/>
        <v>2</v>
      </c>
      <c r="K200" s="4">
        <f>VLOOKUP(C200, Inventory_data!$A$1:$G$86, 5, True)</f>
        <v>3.08</v>
      </c>
    </row>
    <row r="201" ht="14.25" customHeight="1">
      <c r="A201" s="4">
        <v>88.0</v>
      </c>
      <c r="B201" s="5">
        <v>42373.67298611111</v>
      </c>
      <c r="C201" s="4">
        <v>69.0</v>
      </c>
      <c r="D201" s="4" t="str">
        <f>VLOOKUP(C201,inventory,3,true)</f>
        <v>dry_goods</v>
      </c>
      <c r="E201" s="4">
        <f>IFERROR(__xludf.DUMMYFUNCTION("""COMPUTED_VALUE"""),220.0)</f>
        <v>220</v>
      </c>
      <c r="F201" s="4">
        <f t="shared" si="1"/>
        <v>2</v>
      </c>
      <c r="K201" s="4">
        <f>VLOOKUP(C201, Inventory_data!$A$1:$G$86, 5, True)</f>
        <v>0.27</v>
      </c>
    </row>
    <row r="202" ht="14.25" customHeight="1">
      <c r="A202" s="4">
        <v>88.0</v>
      </c>
      <c r="B202" s="5">
        <v>42373.67298611111</v>
      </c>
      <c r="C202" s="4">
        <v>81.0</v>
      </c>
      <c r="D202" s="4" t="str">
        <f>VLOOKUP(C202,inventory,3,true)</f>
        <v>dry_goods</v>
      </c>
      <c r="E202" s="4">
        <f>IFERROR(__xludf.DUMMYFUNCTION("""COMPUTED_VALUE"""),221.0)</f>
        <v>221</v>
      </c>
      <c r="F202" s="4">
        <f t="shared" si="1"/>
        <v>3</v>
      </c>
      <c r="K202" s="4">
        <f>VLOOKUP(C202, Inventory_data!$A$1:$G$86, 5, True)</f>
        <v>2.99</v>
      </c>
    </row>
    <row r="203" ht="14.25" customHeight="1">
      <c r="A203" s="4">
        <v>88.0</v>
      </c>
      <c r="B203" s="5">
        <v>42373.67298611111</v>
      </c>
      <c r="C203" s="4">
        <v>78.0</v>
      </c>
      <c r="D203" s="4" t="str">
        <f>VLOOKUP(C203,inventory,3,true)</f>
        <v>dry_goods</v>
      </c>
      <c r="E203" s="4">
        <f>IFERROR(__xludf.DUMMYFUNCTION("""COMPUTED_VALUE"""),222.0)</f>
        <v>222</v>
      </c>
      <c r="F203" s="4">
        <f t="shared" si="1"/>
        <v>1</v>
      </c>
      <c r="K203" s="4">
        <f>VLOOKUP(C203, Inventory_data!$A$1:$G$86, 5, True)</f>
        <v>1.44</v>
      </c>
    </row>
    <row r="204" ht="14.25" customHeight="1">
      <c r="A204" s="4">
        <v>88.0</v>
      </c>
      <c r="B204" s="5">
        <v>42373.67298611111</v>
      </c>
      <c r="C204" s="4">
        <v>80.0</v>
      </c>
      <c r="D204" s="4" t="str">
        <f>VLOOKUP(C204,inventory,3,true)</f>
        <v>dry_goods</v>
      </c>
      <c r="E204" s="4">
        <f>IFERROR(__xludf.DUMMYFUNCTION("""COMPUTED_VALUE"""),224.0)</f>
        <v>224</v>
      </c>
      <c r="F204" s="4">
        <f t="shared" si="1"/>
        <v>3</v>
      </c>
      <c r="K204" s="4">
        <f>VLOOKUP(C204, Inventory_data!$A$1:$G$86, 5, True)</f>
        <v>3.49</v>
      </c>
    </row>
    <row r="205" ht="14.25" customHeight="1">
      <c r="A205" s="4">
        <v>89.0</v>
      </c>
      <c r="B205" s="5">
        <v>42375.749930555554</v>
      </c>
      <c r="C205" s="4">
        <v>58.0</v>
      </c>
      <c r="D205" s="4" t="str">
        <f>VLOOKUP(C205,inventory,3,true)</f>
        <v>dry_goods</v>
      </c>
      <c r="E205" s="4">
        <f>IFERROR(__xludf.DUMMYFUNCTION("""COMPUTED_VALUE"""),225.0)</f>
        <v>225</v>
      </c>
      <c r="F205" s="4">
        <f t="shared" si="1"/>
        <v>1</v>
      </c>
      <c r="K205" s="4">
        <f>VLOOKUP(C205, Inventory_data!$A$1:$G$86, 5, True)</f>
        <v>0.96</v>
      </c>
    </row>
    <row r="206" ht="14.25" customHeight="1">
      <c r="A206" s="4">
        <v>90.0</v>
      </c>
      <c r="B206" s="5">
        <v>42374.363958333335</v>
      </c>
      <c r="C206" s="4">
        <v>57.0</v>
      </c>
      <c r="D206" s="4" t="str">
        <f>VLOOKUP(C206,inventory,3,true)</f>
        <v>produce</v>
      </c>
      <c r="E206" s="4">
        <f>IFERROR(__xludf.DUMMYFUNCTION("""COMPUTED_VALUE"""),226.0)</f>
        <v>226</v>
      </c>
      <c r="F206" s="4">
        <f t="shared" si="1"/>
        <v>4</v>
      </c>
      <c r="K206" s="4">
        <f>VLOOKUP(C206, Inventory_data!$A$1:$G$86, 5, True)</f>
        <v>3.6</v>
      </c>
    </row>
    <row r="207" ht="14.25" customHeight="1">
      <c r="A207" s="4">
        <v>90.0</v>
      </c>
      <c r="B207" s="5">
        <v>42374.363958333335</v>
      </c>
      <c r="C207" s="4">
        <v>19.0</v>
      </c>
      <c r="D207" s="4" t="str">
        <f>VLOOKUP(C207,inventory,3,true)</f>
        <v>snacks</v>
      </c>
      <c r="E207" s="4">
        <f>IFERROR(__xludf.DUMMYFUNCTION("""COMPUTED_VALUE"""),227.0)</f>
        <v>227</v>
      </c>
      <c r="F207" s="4">
        <f t="shared" si="1"/>
        <v>1</v>
      </c>
      <c r="K207" s="4">
        <f>VLOOKUP(C207, Inventory_data!$A$1:$G$86, 5, True)</f>
        <v>0.41</v>
      </c>
    </row>
    <row r="208" ht="14.25" customHeight="1">
      <c r="A208" s="4">
        <v>91.0</v>
      </c>
      <c r="B208" s="5">
        <v>42376.51211805556</v>
      </c>
      <c r="C208" s="4">
        <v>26.0</v>
      </c>
      <c r="D208" s="4" t="str">
        <f>VLOOKUP(C208,inventory,3,true)</f>
        <v>beverages</v>
      </c>
      <c r="E208" s="4">
        <f>IFERROR(__xludf.DUMMYFUNCTION("""COMPUTED_VALUE"""),228.0)</f>
        <v>228</v>
      </c>
      <c r="F208" s="4">
        <f t="shared" si="1"/>
        <v>1</v>
      </c>
      <c r="K208" s="4">
        <f>VLOOKUP(C208, Inventory_data!$A$1:$G$86, 5, True)</f>
        <v>0.25</v>
      </c>
    </row>
    <row r="209" ht="14.25" customHeight="1">
      <c r="A209" s="4">
        <v>91.0</v>
      </c>
      <c r="B209" s="5">
        <v>42376.51211805556</v>
      </c>
      <c r="C209" s="4">
        <v>13.0</v>
      </c>
      <c r="D209" s="4" t="str">
        <f>VLOOKUP(C209,inventory,3,true)</f>
        <v>beverages</v>
      </c>
      <c r="E209" s="4">
        <f>IFERROR(__xludf.DUMMYFUNCTION("""COMPUTED_VALUE"""),229.0)</f>
        <v>229</v>
      </c>
      <c r="F209" s="4">
        <f t="shared" si="1"/>
        <v>7</v>
      </c>
      <c r="K209" s="4">
        <f>VLOOKUP(C209, Inventory_data!$A$1:$G$86, 5, True)</f>
        <v>0.38</v>
      </c>
    </row>
    <row r="210" ht="14.25" customHeight="1">
      <c r="A210" s="4">
        <v>91.0</v>
      </c>
      <c r="B210" s="5">
        <v>42376.51211805556</v>
      </c>
      <c r="C210" s="4">
        <v>2.0</v>
      </c>
      <c r="D210" s="4" t="str">
        <f>VLOOKUP(C210,inventory,3,true)</f>
        <v>produce</v>
      </c>
      <c r="E210" s="4">
        <f>IFERROR(__xludf.DUMMYFUNCTION("""COMPUTED_VALUE"""),231.0)</f>
        <v>231</v>
      </c>
      <c r="F210" s="4">
        <f t="shared" si="1"/>
        <v>2</v>
      </c>
      <c r="K210" s="4">
        <f>VLOOKUP(C210, Inventory_data!$A$1:$G$86, 5, True)</f>
        <v>1.44</v>
      </c>
    </row>
    <row r="211" ht="14.25" customHeight="1">
      <c r="A211" s="4">
        <v>91.0</v>
      </c>
      <c r="B211" s="5">
        <v>42376.51211805556</v>
      </c>
      <c r="C211" s="4">
        <v>35.0</v>
      </c>
      <c r="D211" s="4" t="str">
        <f>VLOOKUP(C211,inventory,3,true)</f>
        <v>frozen</v>
      </c>
      <c r="E211" s="4">
        <f>IFERROR(__xludf.DUMMYFUNCTION("""COMPUTED_VALUE"""),232.0)</f>
        <v>232</v>
      </c>
      <c r="F211" s="4">
        <f t="shared" si="1"/>
        <v>3</v>
      </c>
      <c r="K211" s="4">
        <f>VLOOKUP(C211, Inventory_data!$A$1:$G$86, 5, True)</f>
        <v>1.39</v>
      </c>
    </row>
    <row r="212" ht="14.25" customHeight="1">
      <c r="A212" s="4">
        <v>92.0</v>
      </c>
      <c r="B212" s="5">
        <v>42377.50231481482</v>
      </c>
      <c r="C212" s="4">
        <v>6.0</v>
      </c>
      <c r="D212" s="4" t="str">
        <f>VLOOKUP(C212,inventory,3,true)</f>
        <v>produce</v>
      </c>
      <c r="E212" s="4">
        <f>IFERROR(__xludf.DUMMYFUNCTION("""COMPUTED_VALUE"""),233.0)</f>
        <v>233</v>
      </c>
      <c r="F212" s="4">
        <f t="shared" si="1"/>
        <v>2</v>
      </c>
      <c r="K212" s="4">
        <f>VLOOKUP(C212, Inventory_data!$A$1:$G$86, 5, True)</f>
        <v>1.69</v>
      </c>
    </row>
    <row r="213" ht="14.25" customHeight="1">
      <c r="A213" s="4">
        <v>93.0</v>
      </c>
      <c r="B213" s="5">
        <v>42373.74496527778</v>
      </c>
      <c r="C213" s="4">
        <v>23.0</v>
      </c>
      <c r="D213" s="4" t="str">
        <f>VLOOKUP(C213,inventory,3,true)</f>
        <v>dry_goods</v>
      </c>
      <c r="E213" s="4">
        <f>IFERROR(__xludf.DUMMYFUNCTION("""COMPUTED_VALUE"""),235.0)</f>
        <v>235</v>
      </c>
      <c r="F213" s="4">
        <f t="shared" si="1"/>
        <v>4</v>
      </c>
      <c r="K213" s="4">
        <f>VLOOKUP(C213, Inventory_data!$A$1:$G$86, 5, True)</f>
        <v>0.91</v>
      </c>
    </row>
    <row r="214" ht="14.25" customHeight="1">
      <c r="A214" s="4">
        <v>93.0</v>
      </c>
      <c r="B214" s="5">
        <v>42373.74496527778</v>
      </c>
      <c r="C214" s="4">
        <v>46.0</v>
      </c>
      <c r="D214" s="4" t="str">
        <f>VLOOKUP(C214,inventory,3,true)</f>
        <v>frozen</v>
      </c>
      <c r="E214" s="4">
        <f>IFERROR(__xludf.DUMMYFUNCTION("""COMPUTED_VALUE"""),236.0)</f>
        <v>236</v>
      </c>
      <c r="F214" s="4">
        <f t="shared" si="1"/>
        <v>4</v>
      </c>
      <c r="K214" s="4">
        <f>VLOOKUP(C214, Inventory_data!$A$1:$G$86, 5, True)</f>
        <v>16.99</v>
      </c>
    </row>
    <row r="215" ht="14.25" customHeight="1">
      <c r="A215" s="4">
        <v>93.0</v>
      </c>
      <c r="B215" s="5">
        <v>42373.74496527778</v>
      </c>
      <c r="C215" s="4">
        <v>21.0</v>
      </c>
      <c r="D215" s="4" t="str">
        <f>VLOOKUP(C215,inventory,3,true)</f>
        <v>snacks</v>
      </c>
      <c r="E215" s="4">
        <f>IFERROR(__xludf.DUMMYFUNCTION("""COMPUTED_VALUE"""),237.0)</f>
        <v>237</v>
      </c>
      <c r="F215" s="4">
        <f t="shared" si="1"/>
        <v>2</v>
      </c>
      <c r="K215" s="4">
        <f>VLOOKUP(C215, Inventory_data!$A$1:$G$86, 5, True)</f>
        <v>2.59</v>
      </c>
    </row>
    <row r="216" ht="14.25" customHeight="1">
      <c r="A216" s="4">
        <v>94.0</v>
      </c>
      <c r="B216" s="5">
        <v>42373.44695601852</v>
      </c>
      <c r="C216" s="4">
        <v>11.0</v>
      </c>
      <c r="D216" s="4" t="str">
        <f>VLOOKUP(C216,inventory,3,true)</f>
        <v>produce</v>
      </c>
      <c r="E216" s="4">
        <f>IFERROR(__xludf.DUMMYFUNCTION("""COMPUTED_VALUE"""),238.0)</f>
        <v>238</v>
      </c>
      <c r="F216" s="4">
        <f t="shared" si="1"/>
        <v>2</v>
      </c>
      <c r="K216" s="4">
        <f>VLOOKUP(C216, Inventory_data!$A$1:$G$86, 5, True)</f>
        <v>4.89</v>
      </c>
    </row>
    <row r="217" ht="14.25" customHeight="1">
      <c r="A217" s="4">
        <v>94.0</v>
      </c>
      <c r="B217" s="5">
        <v>42373.44695601852</v>
      </c>
      <c r="C217" s="4">
        <v>64.0</v>
      </c>
      <c r="D217" s="4" t="str">
        <f>VLOOKUP(C217,inventory,3,true)</f>
        <v>produce</v>
      </c>
      <c r="E217" s="4">
        <f>IFERROR(__xludf.DUMMYFUNCTION("""COMPUTED_VALUE"""),239.0)</f>
        <v>239</v>
      </c>
      <c r="F217" s="4">
        <f t="shared" si="1"/>
        <v>4</v>
      </c>
      <c r="K217" s="4">
        <f>VLOOKUP(C217, Inventory_data!$A$1:$G$86, 5, True)</f>
        <v>1.22</v>
      </c>
    </row>
    <row r="218" ht="14.25" customHeight="1">
      <c r="A218" s="4">
        <v>95.0</v>
      </c>
      <c r="B218" s="5">
        <v>42377.58405092593</v>
      </c>
      <c r="C218" s="4">
        <v>15.0</v>
      </c>
      <c r="D218" s="4" t="str">
        <f>VLOOKUP(C218,inventory,3,true)</f>
        <v>snacks</v>
      </c>
      <c r="E218" s="4">
        <f>IFERROR(__xludf.DUMMYFUNCTION("""COMPUTED_VALUE"""),240.0)</f>
        <v>240</v>
      </c>
      <c r="F218" s="4">
        <f t="shared" si="1"/>
        <v>5</v>
      </c>
      <c r="K218" s="4">
        <f>VLOOKUP(C218, Inventory_data!$A$1:$G$86, 5, True)</f>
        <v>0.43</v>
      </c>
    </row>
    <row r="219" ht="14.25" customHeight="1">
      <c r="A219" s="4">
        <v>96.0</v>
      </c>
      <c r="B219" s="5">
        <v>42373.70092592593</v>
      </c>
      <c r="C219" s="4">
        <v>76.0</v>
      </c>
      <c r="D219" s="4" t="str">
        <f>VLOOKUP(C219,inventory,3,true)</f>
        <v>snacks</v>
      </c>
      <c r="E219" s="4">
        <f>IFERROR(__xludf.DUMMYFUNCTION("""COMPUTED_VALUE"""),242.0)</f>
        <v>242</v>
      </c>
      <c r="F219" s="4">
        <f t="shared" si="1"/>
        <v>2</v>
      </c>
      <c r="K219" s="4">
        <f>VLOOKUP(C219, Inventory_data!$A$1:$G$86, 5, True)</f>
        <v>0.69</v>
      </c>
    </row>
    <row r="220" ht="14.25" customHeight="1">
      <c r="A220" s="4">
        <v>97.0</v>
      </c>
      <c r="B220" s="5">
        <v>42377.51829861111</v>
      </c>
      <c r="C220" s="4">
        <v>7.0</v>
      </c>
      <c r="D220" s="4" t="str">
        <f>VLOOKUP(C220,inventory,3,true)</f>
        <v>produce</v>
      </c>
      <c r="E220" s="4">
        <f>IFERROR(__xludf.DUMMYFUNCTION("""COMPUTED_VALUE"""),243.0)</f>
        <v>243</v>
      </c>
      <c r="F220" s="4">
        <f t="shared" si="1"/>
        <v>4</v>
      </c>
      <c r="K220" s="4">
        <f>VLOOKUP(C220, Inventory_data!$A$1:$G$86, 5, True)</f>
        <v>2.54</v>
      </c>
    </row>
    <row r="221" ht="14.25" customHeight="1">
      <c r="A221" s="4">
        <v>97.0</v>
      </c>
      <c r="B221" s="5">
        <v>42377.51829861111</v>
      </c>
      <c r="C221" s="4">
        <v>40.0</v>
      </c>
      <c r="D221" s="4" t="str">
        <f>VLOOKUP(C221,inventory,3,true)</f>
        <v>frozen</v>
      </c>
      <c r="E221" s="4">
        <f>IFERROR(__xludf.DUMMYFUNCTION("""COMPUTED_VALUE"""),244.0)</f>
        <v>244</v>
      </c>
      <c r="F221" s="4">
        <f t="shared" si="1"/>
        <v>2</v>
      </c>
      <c r="K221" s="4">
        <f>VLOOKUP(C221, Inventory_data!$A$1:$G$86, 5, True)</f>
        <v>1.17</v>
      </c>
    </row>
    <row r="222" ht="14.25" customHeight="1">
      <c r="A222" s="4">
        <v>97.0</v>
      </c>
      <c r="B222" s="5">
        <v>42377.51829861111</v>
      </c>
      <c r="C222" s="4">
        <v>38.0</v>
      </c>
      <c r="D222" s="4" t="str">
        <f>VLOOKUP(C222,inventory,3,true)</f>
        <v>frozen</v>
      </c>
      <c r="E222" s="4">
        <f>IFERROR(__xludf.DUMMYFUNCTION("""COMPUTED_VALUE"""),245.0)</f>
        <v>245</v>
      </c>
      <c r="F222" s="4">
        <f t="shared" si="1"/>
        <v>6</v>
      </c>
      <c r="K222" s="4">
        <f>VLOOKUP(C222, Inventory_data!$A$1:$G$86, 5, True)</f>
        <v>1.19</v>
      </c>
    </row>
    <row r="223" ht="14.25" customHeight="1">
      <c r="A223" s="4">
        <v>97.0</v>
      </c>
      <c r="B223" s="5">
        <v>42377.51829861111</v>
      </c>
      <c r="C223" s="4">
        <v>36.0</v>
      </c>
      <c r="D223" s="4" t="str">
        <f>VLOOKUP(C223,inventory,3,true)</f>
        <v>canned_jarred_goods</v>
      </c>
      <c r="E223" s="4">
        <f>IFERROR(__xludf.DUMMYFUNCTION("""COMPUTED_VALUE"""),246.0)</f>
        <v>246</v>
      </c>
      <c r="F223" s="4">
        <f t="shared" si="1"/>
        <v>2</v>
      </c>
      <c r="K223" s="4">
        <f>VLOOKUP(C223, Inventory_data!$A$1:$G$86, 5, True)</f>
        <v>1.12</v>
      </c>
    </row>
    <row r="224" ht="14.25" customHeight="1">
      <c r="A224" s="4">
        <v>98.0</v>
      </c>
      <c r="B224" s="5">
        <v>42373.820763888885</v>
      </c>
      <c r="C224" s="4">
        <v>75.0</v>
      </c>
      <c r="D224" s="4" t="str">
        <f>VLOOKUP(C224,inventory,3,true)</f>
        <v>snacks</v>
      </c>
      <c r="E224" s="4">
        <f>IFERROR(__xludf.DUMMYFUNCTION("""COMPUTED_VALUE"""),247.0)</f>
        <v>247</v>
      </c>
      <c r="F224" s="4">
        <f t="shared" si="1"/>
        <v>2</v>
      </c>
      <c r="K224" s="4">
        <f>VLOOKUP(C224, Inventory_data!$A$1:$G$86, 5, True)</f>
        <v>0.57</v>
      </c>
    </row>
    <row r="225" ht="14.25" customHeight="1">
      <c r="A225" s="4">
        <v>98.0</v>
      </c>
      <c r="B225" s="5">
        <v>42373.820763888885</v>
      </c>
      <c r="C225" s="4">
        <v>35.0</v>
      </c>
      <c r="D225" s="4" t="str">
        <f>VLOOKUP(C225,inventory,3,true)</f>
        <v>frozen</v>
      </c>
      <c r="E225" s="4">
        <f>IFERROR(__xludf.DUMMYFUNCTION("""COMPUTED_VALUE"""),249.0)</f>
        <v>249</v>
      </c>
      <c r="F225" s="4">
        <f t="shared" si="1"/>
        <v>4</v>
      </c>
      <c r="K225" s="4">
        <f>VLOOKUP(C225, Inventory_data!$A$1:$G$86, 5, True)</f>
        <v>1.39</v>
      </c>
    </row>
    <row r="226" ht="14.25" customHeight="1">
      <c r="A226" s="4">
        <v>99.0</v>
      </c>
      <c r="B226" s="5">
        <v>42375.796168981484</v>
      </c>
      <c r="C226" s="4">
        <v>15.0</v>
      </c>
      <c r="D226" s="4" t="str">
        <f>VLOOKUP(C226,inventory,3,true)</f>
        <v>snacks</v>
      </c>
      <c r="E226" s="4">
        <f>IFERROR(__xludf.DUMMYFUNCTION("""COMPUTED_VALUE"""),250.0)</f>
        <v>250</v>
      </c>
      <c r="F226" s="4">
        <f t="shared" si="1"/>
        <v>2</v>
      </c>
      <c r="K226" s="4">
        <f>VLOOKUP(C226, Inventory_data!$A$1:$G$86, 5, True)</f>
        <v>0.43</v>
      </c>
    </row>
    <row r="227" ht="14.25" customHeight="1">
      <c r="A227" s="4">
        <v>99.0</v>
      </c>
      <c r="B227" s="5">
        <v>42375.796168981484</v>
      </c>
      <c r="C227" s="4">
        <v>40.0</v>
      </c>
      <c r="D227" s="4" t="str">
        <f>VLOOKUP(C227,inventory,3,true)</f>
        <v>frozen</v>
      </c>
      <c r="E227" s="4">
        <f>IFERROR(__xludf.DUMMYFUNCTION("""COMPUTED_VALUE"""),251.0)</f>
        <v>251</v>
      </c>
      <c r="F227" s="4">
        <f t="shared" si="1"/>
        <v>2</v>
      </c>
      <c r="K227" s="4">
        <f>VLOOKUP(C227, Inventory_data!$A$1:$G$86, 5, True)</f>
        <v>1.17</v>
      </c>
    </row>
    <row r="228" ht="14.25" customHeight="1">
      <c r="A228" s="4">
        <v>100.0</v>
      </c>
      <c r="B228" s="5">
        <v>42374.689375</v>
      </c>
      <c r="C228" s="4">
        <v>78.0</v>
      </c>
      <c r="D228" s="4" t="str">
        <f>VLOOKUP(C228,inventory,3,true)</f>
        <v>dry_goods</v>
      </c>
      <c r="E228" s="4">
        <f>IFERROR(__xludf.DUMMYFUNCTION("""COMPUTED_VALUE"""),252.0)</f>
        <v>252</v>
      </c>
      <c r="F228" s="4">
        <f t="shared" si="1"/>
        <v>2</v>
      </c>
      <c r="K228" s="4">
        <f>VLOOKUP(C228, Inventory_data!$A$1:$G$86, 5, True)</f>
        <v>1.44</v>
      </c>
    </row>
    <row r="229" ht="14.25" customHeight="1">
      <c r="A229" s="4">
        <v>100.0</v>
      </c>
      <c r="B229" s="5">
        <v>42374.689375</v>
      </c>
      <c r="C229" s="4">
        <v>2.0</v>
      </c>
      <c r="D229" s="4" t="str">
        <f>VLOOKUP(C229,inventory,3,true)</f>
        <v>produce</v>
      </c>
      <c r="E229" s="4">
        <f>IFERROR(__xludf.DUMMYFUNCTION("""COMPUTED_VALUE"""),253.0)</f>
        <v>253</v>
      </c>
      <c r="F229" s="4">
        <f t="shared" si="1"/>
        <v>3</v>
      </c>
      <c r="K229" s="4">
        <f>VLOOKUP(C229, Inventory_data!$A$1:$G$86, 5, True)</f>
        <v>1.44</v>
      </c>
    </row>
    <row r="230" ht="14.25" customHeight="1">
      <c r="A230" s="4">
        <v>100.0</v>
      </c>
      <c r="B230" s="5">
        <v>42374.689375</v>
      </c>
      <c r="C230" s="4">
        <v>64.0</v>
      </c>
      <c r="D230" s="4" t="str">
        <f>VLOOKUP(C230,inventory,3,true)</f>
        <v>produce</v>
      </c>
      <c r="E230" s="4">
        <f>IFERROR(__xludf.DUMMYFUNCTION("""COMPUTED_VALUE"""),254.0)</f>
        <v>254</v>
      </c>
      <c r="F230" s="4">
        <f t="shared" si="1"/>
        <v>4</v>
      </c>
      <c r="K230" s="4">
        <f>VLOOKUP(C230, Inventory_data!$A$1:$G$86, 5, True)</f>
        <v>1.22</v>
      </c>
    </row>
    <row r="231" ht="14.25" customHeight="1">
      <c r="A231" s="4">
        <v>100.0</v>
      </c>
      <c r="B231" s="5">
        <v>42374.689375</v>
      </c>
      <c r="C231" s="4">
        <v>13.0</v>
      </c>
      <c r="D231" s="4" t="str">
        <f>VLOOKUP(C231,inventory,3,true)</f>
        <v>beverages</v>
      </c>
      <c r="E231" s="4">
        <f>IFERROR(__xludf.DUMMYFUNCTION("""COMPUTED_VALUE"""),255.0)</f>
        <v>255</v>
      </c>
      <c r="F231" s="4">
        <f t="shared" si="1"/>
        <v>1</v>
      </c>
      <c r="K231" s="4">
        <f>VLOOKUP(C231, Inventory_data!$A$1:$G$86, 5, True)</f>
        <v>0.38</v>
      </c>
    </row>
    <row r="232" ht="14.25" customHeight="1">
      <c r="A232" s="4">
        <v>101.0</v>
      </c>
      <c r="B232" s="5">
        <v>42373.80645833333</v>
      </c>
      <c r="C232" s="4">
        <v>78.0</v>
      </c>
      <c r="D232" s="4" t="str">
        <f>VLOOKUP(C232,inventory,3,true)</f>
        <v>dry_goods</v>
      </c>
      <c r="E232" s="4">
        <f>IFERROR(__xludf.DUMMYFUNCTION("""COMPUTED_VALUE"""),256.0)</f>
        <v>256</v>
      </c>
      <c r="F232" s="4">
        <f t="shared" si="1"/>
        <v>2</v>
      </c>
      <c r="K232" s="4">
        <f>VLOOKUP(C232, Inventory_data!$A$1:$G$86, 5, True)</f>
        <v>1.44</v>
      </c>
    </row>
    <row r="233" ht="14.25" customHeight="1">
      <c r="A233" s="4">
        <v>101.0</v>
      </c>
      <c r="B233" s="5">
        <v>42373.80645833333</v>
      </c>
      <c r="C233" s="4">
        <v>48.0</v>
      </c>
      <c r="D233" s="4" t="str">
        <f>VLOOKUP(C233,inventory,3,true)</f>
        <v>dry_goods</v>
      </c>
      <c r="E233" s="4">
        <f>IFERROR(__xludf.DUMMYFUNCTION("""COMPUTED_VALUE"""),258.0)</f>
        <v>258</v>
      </c>
      <c r="F233" s="4">
        <f t="shared" si="1"/>
        <v>5</v>
      </c>
      <c r="K233" s="4">
        <f>VLOOKUP(C233, Inventory_data!$A$1:$G$86, 5, True)</f>
        <v>0.89</v>
      </c>
    </row>
    <row r="234" ht="14.25" customHeight="1">
      <c r="A234" s="4">
        <v>101.0</v>
      </c>
      <c r="B234" s="5">
        <v>42373.80645833333</v>
      </c>
      <c r="C234" s="4">
        <v>17.0</v>
      </c>
      <c r="D234" s="4" t="str">
        <f>VLOOKUP(C234,inventory,3,true)</f>
        <v>other</v>
      </c>
      <c r="E234" s="4">
        <f>IFERROR(__xludf.DUMMYFUNCTION("""COMPUTED_VALUE"""),259.0)</f>
        <v>259</v>
      </c>
      <c r="F234" s="4">
        <f t="shared" si="1"/>
        <v>4</v>
      </c>
      <c r="K234" s="4">
        <f>VLOOKUP(C234, Inventory_data!$A$1:$G$86, 5, True)</f>
        <v>2.67</v>
      </c>
    </row>
    <row r="235" ht="14.25" customHeight="1">
      <c r="A235" s="4">
        <v>101.0</v>
      </c>
      <c r="B235" s="5">
        <v>42373.80645833333</v>
      </c>
      <c r="C235" s="4">
        <v>15.0</v>
      </c>
      <c r="D235" s="4" t="str">
        <f>VLOOKUP(C235,inventory,3,true)</f>
        <v>snacks</v>
      </c>
      <c r="E235" s="4">
        <f>IFERROR(__xludf.DUMMYFUNCTION("""COMPUTED_VALUE"""),260.0)</f>
        <v>260</v>
      </c>
      <c r="F235" s="4">
        <f t="shared" si="1"/>
        <v>2</v>
      </c>
      <c r="K235" s="4">
        <f>VLOOKUP(C235, Inventory_data!$A$1:$G$86, 5, True)</f>
        <v>0.43</v>
      </c>
    </row>
    <row r="236" ht="14.25" customHeight="1">
      <c r="A236" s="4">
        <v>102.0</v>
      </c>
      <c r="B236" s="5">
        <v>42373.782002314816</v>
      </c>
      <c r="C236" s="4">
        <v>48.0</v>
      </c>
      <c r="D236" s="4" t="str">
        <f>VLOOKUP(C236,inventory,3,true)</f>
        <v>dry_goods</v>
      </c>
    </row>
    <row r="237" ht="14.25" customHeight="1">
      <c r="A237" s="4">
        <v>102.0</v>
      </c>
      <c r="B237" s="5">
        <v>42373.782002314816</v>
      </c>
      <c r="C237" s="4">
        <v>39.0</v>
      </c>
      <c r="D237" s="4" t="str">
        <f>VLOOKUP(C237,inventory,3,true)</f>
        <v>snacks</v>
      </c>
    </row>
    <row r="238" ht="14.25" customHeight="1">
      <c r="A238" s="4">
        <v>102.0</v>
      </c>
      <c r="B238" s="5">
        <v>42373.782002314816</v>
      </c>
      <c r="C238" s="4">
        <v>35.0</v>
      </c>
      <c r="D238" s="4" t="str">
        <f>VLOOKUP(C238,inventory,3,true)</f>
        <v>frozen</v>
      </c>
    </row>
    <row r="239" ht="14.25" customHeight="1">
      <c r="A239" s="4">
        <v>103.0</v>
      </c>
      <c r="B239" s="5">
        <v>42374.71238425926</v>
      </c>
      <c r="C239" s="4">
        <v>57.0</v>
      </c>
      <c r="D239" s="4" t="str">
        <f>VLOOKUP(C239,inventory,3,true)</f>
        <v>produce</v>
      </c>
    </row>
    <row r="240" ht="14.25" customHeight="1">
      <c r="A240" s="4">
        <v>103.0</v>
      </c>
      <c r="B240" s="5">
        <v>42374.71238425926</v>
      </c>
      <c r="C240" s="4">
        <v>72.0</v>
      </c>
      <c r="D240" s="4" t="str">
        <f>VLOOKUP(C240,inventory,3,true)</f>
        <v>dry_goods</v>
      </c>
    </row>
    <row r="241" ht="14.25" customHeight="1">
      <c r="A241" s="4">
        <v>103.0</v>
      </c>
      <c r="B241" s="5">
        <v>42374.71238425926</v>
      </c>
      <c r="C241" s="4">
        <v>51.0</v>
      </c>
      <c r="D241" s="4" t="str">
        <f>VLOOKUP(C241,inventory,3,true)</f>
        <v>dairy</v>
      </c>
    </row>
    <row r="242" ht="14.25" customHeight="1">
      <c r="A242" s="4">
        <v>104.0</v>
      </c>
      <c r="B242" s="5">
        <v>42377.34260416667</v>
      </c>
      <c r="C242" s="4">
        <v>75.0</v>
      </c>
      <c r="D242" s="4" t="str">
        <f>VLOOKUP(C242,inventory,3,true)</f>
        <v>snacks</v>
      </c>
    </row>
    <row r="243" ht="14.25" customHeight="1">
      <c r="A243" s="4">
        <v>104.0</v>
      </c>
      <c r="B243" s="5">
        <v>42377.34260416667</v>
      </c>
      <c r="C243" s="4">
        <v>42.0</v>
      </c>
      <c r="D243" s="4" t="str">
        <f>VLOOKUP(C243,inventory,3,true)</f>
        <v>produce</v>
      </c>
    </row>
    <row r="244" ht="14.25" customHeight="1">
      <c r="A244" s="4">
        <v>104.0</v>
      </c>
      <c r="B244" s="5">
        <v>42377.34260416667</v>
      </c>
      <c r="C244" s="4">
        <v>17.0</v>
      </c>
      <c r="D244" s="4" t="str">
        <f>VLOOKUP(C244,inventory,3,true)</f>
        <v>other</v>
      </c>
    </row>
    <row r="245" ht="14.25" customHeight="1">
      <c r="A245" s="4">
        <v>105.0</v>
      </c>
      <c r="B245" s="5">
        <v>42377.44094907407</v>
      </c>
      <c r="C245" s="4">
        <v>81.0</v>
      </c>
      <c r="D245" s="4" t="str">
        <f>VLOOKUP(C245,inventory,3,true)</f>
        <v>dry_goods</v>
      </c>
    </row>
    <row r="246" ht="14.25" customHeight="1">
      <c r="A246" s="4">
        <v>105.0</v>
      </c>
      <c r="B246" s="5">
        <v>42377.44094907407</v>
      </c>
      <c r="C246" s="4">
        <v>24.0</v>
      </c>
      <c r="D246" s="4" t="str">
        <f>VLOOKUP(C246,inventory,3,true)</f>
        <v>dry_goods</v>
      </c>
    </row>
    <row r="247" ht="14.25" customHeight="1">
      <c r="A247" s="4">
        <v>105.0</v>
      </c>
      <c r="B247" s="5">
        <v>42377.44094907407</v>
      </c>
      <c r="C247" s="4">
        <v>57.0</v>
      </c>
      <c r="D247" s="4" t="str">
        <f>VLOOKUP(C247,inventory,3,true)</f>
        <v>produce</v>
      </c>
    </row>
    <row r="248" ht="14.25" customHeight="1">
      <c r="A248" s="4">
        <v>106.0</v>
      </c>
      <c r="B248" s="5">
        <v>42372.40866898148</v>
      </c>
      <c r="C248" s="4">
        <v>57.0</v>
      </c>
      <c r="D248" s="4" t="str">
        <f>VLOOKUP(C248,inventory,3,true)</f>
        <v>produce</v>
      </c>
    </row>
    <row r="249" ht="14.25" customHeight="1">
      <c r="A249" s="4">
        <v>106.0</v>
      </c>
      <c r="B249" s="5">
        <v>42372.40866898148</v>
      </c>
      <c r="C249" s="4">
        <v>46.0</v>
      </c>
      <c r="D249" s="4" t="str">
        <f>VLOOKUP(C249,inventory,3,true)</f>
        <v>frozen</v>
      </c>
    </row>
    <row r="250" ht="14.25" customHeight="1">
      <c r="A250" s="4">
        <v>106.0</v>
      </c>
      <c r="B250" s="5">
        <v>42372.40866898148</v>
      </c>
      <c r="C250" s="4">
        <v>38.0</v>
      </c>
      <c r="D250" s="4" t="str">
        <f>VLOOKUP(C250,inventory,3,true)</f>
        <v>frozen</v>
      </c>
    </row>
    <row r="251" ht="14.25" customHeight="1">
      <c r="A251" s="4">
        <v>106.0</v>
      </c>
      <c r="B251" s="5">
        <v>42372.40866898148</v>
      </c>
      <c r="C251" s="4">
        <v>36.0</v>
      </c>
      <c r="D251" s="4" t="str">
        <f>VLOOKUP(C251,inventory,3,true)</f>
        <v>canned_jarred_goods</v>
      </c>
    </row>
    <row r="252" ht="14.25" customHeight="1">
      <c r="A252" s="4">
        <v>106.0</v>
      </c>
      <c r="B252" s="5">
        <v>42372.40866898148</v>
      </c>
      <c r="C252" s="4">
        <v>34.0</v>
      </c>
      <c r="D252" s="4" t="str">
        <f>VLOOKUP(C252,inventory,3,true)</f>
        <v>canned_jarred_goods</v>
      </c>
    </row>
    <row r="253" ht="14.25" customHeight="1">
      <c r="A253" s="4">
        <v>106.0</v>
      </c>
      <c r="B253" s="5">
        <v>42372.40866898148</v>
      </c>
      <c r="C253" s="4">
        <v>60.0</v>
      </c>
      <c r="D253" s="4" t="str">
        <f>VLOOKUP(C253,inventory,3,true)</f>
        <v>produce</v>
      </c>
    </row>
    <row r="254" ht="14.25" customHeight="1">
      <c r="A254" s="4">
        <v>107.0</v>
      </c>
      <c r="B254" s="5">
        <v>42377.74414351852</v>
      </c>
      <c r="C254" s="4">
        <v>12.0</v>
      </c>
      <c r="D254" s="4" t="str">
        <f>VLOOKUP(C254,inventory,3,true)</f>
        <v>dairy</v>
      </c>
    </row>
    <row r="255" ht="14.25" customHeight="1">
      <c r="A255" s="4">
        <v>108.0</v>
      </c>
      <c r="B255" s="5">
        <v>42373.53461805556</v>
      </c>
      <c r="C255" s="4">
        <v>5.0</v>
      </c>
      <c r="D255" s="4" t="str">
        <f>VLOOKUP(C255,inventory,3,true)</f>
        <v>produce</v>
      </c>
    </row>
    <row r="256" ht="14.25" customHeight="1">
      <c r="A256" s="4">
        <v>108.0</v>
      </c>
      <c r="B256" s="5">
        <v>42373.53461805556</v>
      </c>
      <c r="C256" s="4">
        <v>27.0</v>
      </c>
      <c r="D256" s="4" t="str">
        <f>VLOOKUP(C256,inventory,3,true)</f>
        <v>other</v>
      </c>
    </row>
    <row r="257" ht="14.25" customHeight="1">
      <c r="A257" s="4">
        <v>108.0</v>
      </c>
      <c r="B257" s="5">
        <v>42373.53461805556</v>
      </c>
      <c r="C257" s="4">
        <v>25.0</v>
      </c>
      <c r="D257" s="4" t="str">
        <f>VLOOKUP(C257,inventory,3,true)</f>
        <v>meat</v>
      </c>
    </row>
    <row r="258" ht="14.25" customHeight="1">
      <c r="A258" s="4">
        <v>109.0</v>
      </c>
      <c r="B258" s="5">
        <v>42375.47893518519</v>
      </c>
      <c r="C258" s="4">
        <v>78.0</v>
      </c>
      <c r="D258" s="4" t="str">
        <f>VLOOKUP(C258,inventory,3,true)</f>
        <v>dry_goods</v>
      </c>
    </row>
    <row r="259" ht="14.25" customHeight="1">
      <c r="A259" s="4">
        <v>109.0</v>
      </c>
      <c r="B259" s="5">
        <v>42375.47893518519</v>
      </c>
      <c r="C259" s="4">
        <v>37.0</v>
      </c>
      <c r="D259" s="4" t="str">
        <f>VLOOKUP(C259,inventory,3,true)</f>
        <v>frozen</v>
      </c>
    </row>
    <row r="260" ht="14.25" customHeight="1">
      <c r="A260" s="4">
        <v>109.0</v>
      </c>
      <c r="B260" s="5">
        <v>42375.47893518519</v>
      </c>
      <c r="C260" s="4">
        <v>59.0</v>
      </c>
      <c r="D260" s="4" t="str">
        <f>VLOOKUP(C260,inventory,3,true)</f>
        <v>produce</v>
      </c>
    </row>
    <row r="261" ht="14.25" customHeight="1">
      <c r="A261" s="4">
        <v>110.0</v>
      </c>
      <c r="B261" s="5">
        <v>42377.44461805555</v>
      </c>
      <c r="C261" s="4">
        <v>70.0</v>
      </c>
      <c r="D261" s="4" t="str">
        <f>VLOOKUP(C261,inventory,3,true)</f>
        <v>dry_goods</v>
      </c>
    </row>
    <row r="262" ht="14.25" customHeight="1">
      <c r="A262" s="4">
        <v>111.0</v>
      </c>
      <c r="B262" s="5">
        <v>42374.82078703704</v>
      </c>
      <c r="C262" s="4">
        <v>46.0</v>
      </c>
      <c r="D262" s="4" t="str">
        <f>VLOOKUP(C262,inventory,3,true)</f>
        <v>frozen</v>
      </c>
    </row>
    <row r="263" ht="14.25" customHeight="1">
      <c r="A263" s="4">
        <v>112.0</v>
      </c>
      <c r="B263" s="5">
        <v>42376.41881944444</v>
      </c>
      <c r="C263" s="4">
        <v>11.0</v>
      </c>
      <c r="D263" s="4" t="str">
        <f>VLOOKUP(C263,inventory,3,true)</f>
        <v>produce</v>
      </c>
    </row>
    <row r="264" ht="14.25" customHeight="1">
      <c r="A264" s="4">
        <v>112.0</v>
      </c>
      <c r="B264" s="5">
        <v>42376.41881944444</v>
      </c>
      <c r="C264" s="4">
        <v>72.0</v>
      </c>
      <c r="D264" s="4" t="str">
        <f>VLOOKUP(C264,inventory,3,true)</f>
        <v>dry_goods</v>
      </c>
    </row>
    <row r="265" ht="14.25" customHeight="1">
      <c r="A265" s="4">
        <v>113.0</v>
      </c>
      <c r="B265" s="5">
        <v>42377.60859953704</v>
      </c>
      <c r="C265" s="4">
        <v>65.0</v>
      </c>
      <c r="D265" s="4" t="str">
        <f>VLOOKUP(C265,inventory,3,true)</f>
        <v>produce</v>
      </c>
    </row>
    <row r="266" ht="14.25" customHeight="1">
      <c r="A266" s="4">
        <v>113.0</v>
      </c>
      <c r="B266" s="5">
        <v>42377.60859953704</v>
      </c>
      <c r="C266" s="4">
        <v>27.0</v>
      </c>
      <c r="D266" s="4" t="str">
        <f>VLOOKUP(C266,inventory,3,true)</f>
        <v>other</v>
      </c>
    </row>
    <row r="267" ht="14.25" customHeight="1">
      <c r="A267" s="4">
        <v>114.0</v>
      </c>
      <c r="B267" s="5">
        <v>42374.4775</v>
      </c>
      <c r="C267" s="4">
        <v>77.0</v>
      </c>
      <c r="D267" s="4" t="str">
        <f>VLOOKUP(C267,inventory,3,true)</f>
        <v>produce</v>
      </c>
    </row>
    <row r="268" ht="14.25" customHeight="1">
      <c r="A268" s="4">
        <v>114.0</v>
      </c>
      <c r="B268" s="5">
        <v>42374.4775</v>
      </c>
      <c r="C268" s="4">
        <v>13.0</v>
      </c>
      <c r="D268" s="4" t="str">
        <f>VLOOKUP(C268,inventory,3,true)</f>
        <v>beverages</v>
      </c>
    </row>
    <row r="269" ht="14.25" customHeight="1">
      <c r="A269" s="4">
        <v>116.0</v>
      </c>
      <c r="B269" s="5">
        <v>42374.47833333333</v>
      </c>
      <c r="C269" s="4">
        <v>11.0</v>
      </c>
      <c r="D269" s="4" t="str">
        <f>VLOOKUP(C269,inventory,3,true)</f>
        <v>produce</v>
      </c>
    </row>
    <row r="270" ht="14.25" customHeight="1">
      <c r="A270" s="4">
        <v>116.0</v>
      </c>
      <c r="B270" s="5">
        <v>42374.47833333333</v>
      </c>
      <c r="C270" s="4">
        <v>37.0</v>
      </c>
      <c r="D270" s="4" t="str">
        <f>VLOOKUP(C270,inventory,3,true)</f>
        <v>frozen</v>
      </c>
    </row>
    <row r="271" ht="14.25" customHeight="1">
      <c r="A271" s="4">
        <v>117.0</v>
      </c>
      <c r="B271" s="5">
        <v>42374.55976851852</v>
      </c>
      <c r="C271" s="4">
        <v>9.0</v>
      </c>
      <c r="D271" s="4" t="str">
        <f>VLOOKUP(C271,inventory,3,true)</f>
        <v>produce</v>
      </c>
    </row>
    <row r="272" ht="14.25" customHeight="1">
      <c r="A272" s="4">
        <v>118.0</v>
      </c>
      <c r="B272" s="5">
        <v>42375.60246527778</v>
      </c>
      <c r="C272" s="4">
        <v>23.0</v>
      </c>
      <c r="D272" s="4" t="str">
        <f>VLOOKUP(C272,inventory,3,true)</f>
        <v>dry_goods</v>
      </c>
    </row>
    <row r="273" ht="14.25" customHeight="1">
      <c r="A273" s="4">
        <v>118.0</v>
      </c>
      <c r="B273" s="5">
        <v>42375.60246527778</v>
      </c>
      <c r="C273" s="4">
        <v>40.0</v>
      </c>
      <c r="D273" s="4" t="str">
        <f>VLOOKUP(C273,inventory,3,true)</f>
        <v>frozen</v>
      </c>
    </row>
    <row r="274" ht="14.25" customHeight="1">
      <c r="A274" s="4">
        <v>118.0</v>
      </c>
      <c r="B274" s="5">
        <v>42375.60246527778</v>
      </c>
      <c r="C274" s="4">
        <v>75.0</v>
      </c>
      <c r="D274" s="4" t="str">
        <f>VLOOKUP(C274,inventory,3,true)</f>
        <v>snacks</v>
      </c>
    </row>
    <row r="275" ht="14.25" customHeight="1">
      <c r="A275" s="4">
        <v>118.0</v>
      </c>
      <c r="B275" s="5">
        <v>42375.60246527778</v>
      </c>
      <c r="C275" s="4">
        <v>8.0</v>
      </c>
      <c r="D275" s="4" t="str">
        <f>VLOOKUP(C275,inventory,3,true)</f>
        <v>produce</v>
      </c>
    </row>
    <row r="276" ht="14.25" customHeight="1">
      <c r="A276" s="4">
        <v>118.0</v>
      </c>
      <c r="B276" s="5">
        <v>42375.60246527778</v>
      </c>
      <c r="C276" s="4">
        <v>18.0</v>
      </c>
      <c r="D276" s="4" t="str">
        <f>VLOOKUP(C276,inventory,3,true)</f>
        <v>dry_goods</v>
      </c>
    </row>
    <row r="277" ht="14.25" customHeight="1">
      <c r="A277" s="4">
        <v>118.0</v>
      </c>
      <c r="B277" s="5">
        <v>42375.60246527778</v>
      </c>
      <c r="C277" s="4">
        <v>48.0</v>
      </c>
      <c r="D277" s="4" t="str">
        <f>VLOOKUP(C277,inventory,3,true)</f>
        <v>dry_goods</v>
      </c>
    </row>
    <row r="278" ht="14.25" customHeight="1">
      <c r="A278" s="4">
        <v>119.0</v>
      </c>
      <c r="B278" s="5">
        <v>42372.66523148148</v>
      </c>
      <c r="C278" s="4">
        <v>76.0</v>
      </c>
      <c r="D278" s="4" t="str">
        <f>VLOOKUP(C278,inventory,3,true)</f>
        <v>snacks</v>
      </c>
    </row>
    <row r="279" ht="14.25" customHeight="1">
      <c r="A279" s="4">
        <v>120.0</v>
      </c>
      <c r="B279" s="5">
        <v>42372.618622685186</v>
      </c>
      <c r="C279" s="4">
        <v>53.0</v>
      </c>
      <c r="D279" s="4" t="str">
        <f>VLOOKUP(C279,inventory,3,true)</f>
        <v>dairy</v>
      </c>
    </row>
    <row r="280" ht="14.25" customHeight="1">
      <c r="A280" s="4">
        <v>120.0</v>
      </c>
      <c r="B280" s="5">
        <v>42372.618622685186</v>
      </c>
      <c r="C280" s="4">
        <v>63.0</v>
      </c>
      <c r="D280" s="4" t="str">
        <f>VLOOKUP(C280,inventory,3,true)</f>
        <v>produce</v>
      </c>
    </row>
    <row r="281" ht="14.25" customHeight="1">
      <c r="A281" s="4">
        <v>120.0</v>
      </c>
      <c r="B281" s="5">
        <v>42372.618622685186</v>
      </c>
      <c r="C281" s="4">
        <v>7.0</v>
      </c>
      <c r="D281" s="4" t="str">
        <f>VLOOKUP(C281,inventory,3,true)</f>
        <v>produce</v>
      </c>
    </row>
    <row r="282" ht="14.25" customHeight="1">
      <c r="A282" s="4">
        <v>121.0</v>
      </c>
      <c r="B282" s="5">
        <v>42377.61116898148</v>
      </c>
      <c r="C282" s="4">
        <v>32.0</v>
      </c>
      <c r="D282" s="4" t="str">
        <f>VLOOKUP(C282,inventory,3,true)</f>
        <v>produce</v>
      </c>
    </row>
    <row r="283" ht="14.25" customHeight="1">
      <c r="A283" s="4">
        <v>121.0</v>
      </c>
      <c r="B283" s="5">
        <v>42377.61116898148</v>
      </c>
      <c r="C283" s="4">
        <v>20.0</v>
      </c>
      <c r="D283" s="4" t="str">
        <f>VLOOKUP(C283,inventory,3,true)</f>
        <v>snacks</v>
      </c>
    </row>
    <row r="284" ht="14.25" customHeight="1">
      <c r="A284" s="4">
        <v>121.0</v>
      </c>
      <c r="B284" s="5">
        <v>42377.61116898148</v>
      </c>
      <c r="C284" s="4">
        <v>63.0</v>
      </c>
      <c r="D284" s="4" t="str">
        <f>VLOOKUP(C284,inventory,3,true)</f>
        <v>produce</v>
      </c>
    </row>
    <row r="285" ht="14.25" customHeight="1">
      <c r="A285" s="4">
        <v>121.0</v>
      </c>
      <c r="B285" s="5">
        <v>42377.61116898148</v>
      </c>
      <c r="C285" s="4">
        <v>27.0</v>
      </c>
      <c r="D285" s="4" t="str">
        <f>VLOOKUP(C285,inventory,3,true)</f>
        <v>other</v>
      </c>
    </row>
    <row r="286" ht="14.25" customHeight="1">
      <c r="A286" s="4">
        <v>123.0</v>
      </c>
      <c r="B286" s="5">
        <v>42377.41925925926</v>
      </c>
      <c r="C286" s="4">
        <v>49.0</v>
      </c>
      <c r="D286" s="4" t="str">
        <f>VLOOKUP(C286,inventory,3,true)</f>
        <v>dairy</v>
      </c>
    </row>
    <row r="287" ht="14.25" customHeight="1">
      <c r="A287" s="4">
        <v>123.0</v>
      </c>
      <c r="B287" s="5">
        <v>42377.41925925926</v>
      </c>
      <c r="C287" s="4">
        <v>58.0</v>
      </c>
      <c r="D287" s="4" t="str">
        <f>VLOOKUP(C287,inventory,3,true)</f>
        <v>dry_goods</v>
      </c>
    </row>
    <row r="288" ht="14.25" customHeight="1">
      <c r="A288" s="4">
        <v>123.0</v>
      </c>
      <c r="B288" s="5">
        <v>42377.41925925926</v>
      </c>
      <c r="C288" s="4">
        <v>19.0</v>
      </c>
      <c r="D288" s="4" t="str">
        <f>VLOOKUP(C288,inventory,3,true)</f>
        <v>snacks</v>
      </c>
    </row>
    <row r="289" ht="14.25" customHeight="1">
      <c r="A289" s="4">
        <v>124.0</v>
      </c>
      <c r="B289" s="5">
        <v>42372.35371527778</v>
      </c>
      <c r="C289" s="4">
        <v>83.0</v>
      </c>
      <c r="D289" s="4" t="str">
        <f>VLOOKUP(C289,inventory,3,true)</f>
        <v>snacks</v>
      </c>
    </row>
    <row r="290" ht="14.25" customHeight="1">
      <c r="A290" s="4">
        <v>124.0</v>
      </c>
      <c r="B290" s="5">
        <v>42372.35371527778</v>
      </c>
      <c r="C290" s="4">
        <v>44.0</v>
      </c>
      <c r="D290" s="4" t="str">
        <f>VLOOKUP(C290,inventory,3,true)</f>
        <v>frozen</v>
      </c>
    </row>
    <row r="291" ht="14.25" customHeight="1">
      <c r="A291" s="4">
        <v>126.0</v>
      </c>
      <c r="B291" s="5">
        <v>42372.52614583333</v>
      </c>
      <c r="C291" s="4">
        <v>4.0</v>
      </c>
      <c r="D291" s="4" t="str">
        <f>VLOOKUP(C291,inventory,3,true)</f>
        <v>produce</v>
      </c>
    </row>
    <row r="292" ht="14.25" customHeight="1">
      <c r="A292" s="4">
        <v>127.0</v>
      </c>
      <c r="B292" s="5">
        <v>42373.38761574074</v>
      </c>
      <c r="C292" s="4">
        <v>40.0</v>
      </c>
      <c r="D292" s="4" t="str">
        <f>VLOOKUP(C292,inventory,3,true)</f>
        <v>frozen</v>
      </c>
    </row>
    <row r="293" ht="14.25" customHeight="1">
      <c r="A293" s="4">
        <v>127.0</v>
      </c>
      <c r="B293" s="5">
        <v>42373.38761574074</v>
      </c>
      <c r="C293" s="4">
        <v>5.0</v>
      </c>
      <c r="D293" s="4" t="str">
        <f>VLOOKUP(C293,inventory,3,true)</f>
        <v>produce</v>
      </c>
    </row>
    <row r="294" ht="14.25" customHeight="1">
      <c r="A294" s="4">
        <v>128.0</v>
      </c>
      <c r="B294" s="5">
        <v>42372.63203703704</v>
      </c>
      <c r="C294" s="4">
        <v>36.0</v>
      </c>
      <c r="D294" s="4" t="str">
        <f>VLOOKUP(C294,inventory,3,true)</f>
        <v>canned_jarred_goods</v>
      </c>
    </row>
    <row r="295" ht="14.25" customHeight="1">
      <c r="A295" s="4">
        <v>128.0</v>
      </c>
      <c r="B295" s="5">
        <v>42372.63203703704</v>
      </c>
      <c r="C295" s="4">
        <v>15.0</v>
      </c>
      <c r="D295" s="4" t="str">
        <f>VLOOKUP(C295,inventory,3,true)</f>
        <v>snacks</v>
      </c>
    </row>
    <row r="296" ht="14.25" customHeight="1">
      <c r="A296" s="4">
        <v>129.0</v>
      </c>
      <c r="B296" s="5">
        <v>42375.80024305556</v>
      </c>
      <c r="C296" s="4">
        <v>21.0</v>
      </c>
      <c r="D296" s="4" t="str">
        <f>VLOOKUP(C296,inventory,3,true)</f>
        <v>snacks</v>
      </c>
    </row>
    <row r="297" ht="14.25" customHeight="1">
      <c r="A297" s="4">
        <v>129.0</v>
      </c>
      <c r="B297" s="5">
        <v>42375.80024305556</v>
      </c>
      <c r="C297" s="4">
        <v>55.0</v>
      </c>
      <c r="D297" s="4" t="str">
        <f>VLOOKUP(C297,inventory,3,true)</f>
        <v>dairy</v>
      </c>
    </row>
    <row r="298" ht="14.25" customHeight="1">
      <c r="A298" s="4">
        <v>130.0</v>
      </c>
      <c r="B298" s="5">
        <v>42375.70494212963</v>
      </c>
      <c r="C298" s="4">
        <v>71.0</v>
      </c>
      <c r="D298" s="4" t="str">
        <f>VLOOKUP(C298,inventory,3,true)</f>
        <v>dry_goods</v>
      </c>
    </row>
    <row r="299" ht="14.25" customHeight="1">
      <c r="A299" s="4">
        <v>130.0</v>
      </c>
      <c r="B299" s="5">
        <v>42375.70494212963</v>
      </c>
      <c r="C299" s="4">
        <v>55.0</v>
      </c>
      <c r="D299" s="4" t="str">
        <f>VLOOKUP(C299,inventory,3,true)</f>
        <v>dairy</v>
      </c>
    </row>
    <row r="300" ht="14.25" customHeight="1">
      <c r="A300" s="4">
        <v>131.0</v>
      </c>
      <c r="B300" s="5">
        <v>42375.805752314816</v>
      </c>
      <c r="C300" s="4">
        <v>4.0</v>
      </c>
      <c r="D300" s="4" t="str">
        <f>VLOOKUP(C300,inventory,3,true)</f>
        <v>produce</v>
      </c>
    </row>
    <row r="301" ht="14.25" customHeight="1">
      <c r="A301" s="4">
        <v>133.0</v>
      </c>
      <c r="B301" s="5">
        <v>42376.791608796295</v>
      </c>
      <c r="C301" s="4">
        <v>59.0</v>
      </c>
      <c r="D301" s="4" t="str">
        <f>VLOOKUP(C301,inventory,3,true)</f>
        <v>produce</v>
      </c>
    </row>
    <row r="302" ht="14.25" customHeight="1">
      <c r="A302" s="4">
        <v>133.0</v>
      </c>
      <c r="B302" s="5">
        <v>42376.791608796295</v>
      </c>
      <c r="C302" s="4">
        <v>72.0</v>
      </c>
      <c r="D302" s="4" t="str">
        <f>VLOOKUP(C302,inventory,3,true)</f>
        <v>dry_goods</v>
      </c>
    </row>
    <row r="303" ht="14.25" customHeight="1">
      <c r="A303" s="4">
        <v>134.0</v>
      </c>
      <c r="B303" s="5">
        <v>42373.746412037035</v>
      </c>
      <c r="C303" s="4">
        <v>33.0</v>
      </c>
      <c r="D303" s="4" t="str">
        <f>VLOOKUP(C303,inventory,3,true)</f>
        <v>canned_jarred_goods</v>
      </c>
    </row>
    <row r="304" ht="14.25" customHeight="1">
      <c r="A304" s="4">
        <v>134.0</v>
      </c>
      <c r="B304" s="5">
        <v>42373.746412037035</v>
      </c>
      <c r="C304" s="4">
        <v>49.0</v>
      </c>
      <c r="D304" s="4" t="str">
        <f>VLOOKUP(C304,inventory,3,true)</f>
        <v>dairy</v>
      </c>
    </row>
    <row r="305" ht="14.25" customHeight="1">
      <c r="A305" s="4">
        <v>134.0</v>
      </c>
      <c r="B305" s="5">
        <v>42373.746412037035</v>
      </c>
      <c r="C305" s="4">
        <v>69.0</v>
      </c>
      <c r="D305" s="4" t="str">
        <f>VLOOKUP(C305,inventory,3,true)</f>
        <v>dry_goods</v>
      </c>
    </row>
    <row r="306" ht="14.25" customHeight="1">
      <c r="A306" s="4">
        <v>135.0</v>
      </c>
      <c r="B306" s="5">
        <v>42372.64171296296</v>
      </c>
      <c r="C306" s="4">
        <v>15.0</v>
      </c>
      <c r="D306" s="4" t="str">
        <f>VLOOKUP(C306,inventory,3,true)</f>
        <v>snacks</v>
      </c>
    </row>
    <row r="307" ht="14.25" customHeight="1">
      <c r="A307" s="4">
        <v>135.0</v>
      </c>
      <c r="B307" s="5">
        <v>42372.64171296296</v>
      </c>
      <c r="C307" s="4">
        <v>11.0</v>
      </c>
      <c r="D307" s="4" t="str">
        <f>VLOOKUP(C307,inventory,3,true)</f>
        <v>produce</v>
      </c>
    </row>
    <row r="308" ht="14.25" customHeight="1">
      <c r="A308" s="4">
        <v>136.0</v>
      </c>
      <c r="B308" s="5">
        <v>42375.52300925926</v>
      </c>
      <c r="C308" s="4">
        <v>73.0</v>
      </c>
      <c r="D308" s="4" t="str">
        <f>VLOOKUP(C308,inventory,3,true)</f>
        <v>snacks</v>
      </c>
    </row>
    <row r="309" ht="14.25" customHeight="1">
      <c r="A309" s="4">
        <v>136.0</v>
      </c>
      <c r="B309" s="5">
        <v>42375.52300925926</v>
      </c>
      <c r="C309" s="4">
        <v>27.0</v>
      </c>
      <c r="D309" s="4" t="str">
        <f>VLOOKUP(C309,inventory,3,true)</f>
        <v>other</v>
      </c>
    </row>
    <row r="310" ht="14.25" customHeight="1">
      <c r="A310" s="4">
        <v>136.0</v>
      </c>
      <c r="B310" s="5">
        <v>42375.52300925926</v>
      </c>
      <c r="C310" s="4">
        <v>10.0</v>
      </c>
      <c r="D310" s="4" t="str">
        <f>VLOOKUP(C310,inventory,3,true)</f>
        <v>produce</v>
      </c>
    </row>
    <row r="311" ht="14.25" customHeight="1">
      <c r="A311" s="4">
        <v>137.0</v>
      </c>
      <c r="B311" s="5">
        <v>42372.6134375</v>
      </c>
      <c r="C311" s="4">
        <v>39.0</v>
      </c>
      <c r="D311" s="4" t="str">
        <f>VLOOKUP(C311,inventory,3,true)</f>
        <v>snacks</v>
      </c>
    </row>
    <row r="312" ht="14.25" customHeight="1">
      <c r="A312" s="4">
        <v>137.0</v>
      </c>
      <c r="B312" s="5">
        <v>42372.6134375</v>
      </c>
      <c r="C312" s="4">
        <v>84.0</v>
      </c>
      <c r="D312" s="4" t="str">
        <f>VLOOKUP(C312,inventory,3,true)</f>
        <v>dry_goods</v>
      </c>
    </row>
    <row r="313" ht="14.25" customHeight="1">
      <c r="A313" s="4">
        <v>138.0</v>
      </c>
      <c r="B313" s="5">
        <v>42377.730891203704</v>
      </c>
      <c r="C313" s="4">
        <v>13.0</v>
      </c>
      <c r="D313" s="4" t="str">
        <f>VLOOKUP(C313,inventory,3,true)</f>
        <v>beverages</v>
      </c>
    </row>
    <row r="314" ht="14.25" customHeight="1">
      <c r="A314" s="4">
        <v>138.0</v>
      </c>
      <c r="B314" s="5">
        <v>42377.730891203704</v>
      </c>
      <c r="C314" s="4">
        <v>55.0</v>
      </c>
      <c r="D314" s="4" t="str">
        <f>VLOOKUP(C314,inventory,3,true)</f>
        <v>dairy</v>
      </c>
    </row>
    <row r="315" ht="14.25" customHeight="1">
      <c r="A315" s="4">
        <v>138.0</v>
      </c>
      <c r="B315" s="5">
        <v>42377.730891203704</v>
      </c>
      <c r="C315" s="4">
        <v>40.0</v>
      </c>
      <c r="D315" s="4" t="str">
        <f>VLOOKUP(C315,inventory,3,true)</f>
        <v>frozen</v>
      </c>
    </row>
    <row r="316" ht="14.25" customHeight="1">
      <c r="A316" s="4">
        <v>138.0</v>
      </c>
      <c r="B316" s="5">
        <v>42377.730891203704</v>
      </c>
      <c r="C316" s="4">
        <v>5.0</v>
      </c>
      <c r="D316" s="4" t="str">
        <f>VLOOKUP(C316,inventory,3,true)</f>
        <v>produce</v>
      </c>
    </row>
    <row r="317" ht="14.25" customHeight="1">
      <c r="A317" s="4">
        <v>139.0</v>
      </c>
      <c r="B317" s="5">
        <v>42372.82230324074</v>
      </c>
      <c r="C317" s="4">
        <v>54.0</v>
      </c>
      <c r="D317" s="4" t="str">
        <f>VLOOKUP(C317,inventory,3,true)</f>
        <v>dairy</v>
      </c>
    </row>
    <row r="318" ht="14.25" customHeight="1">
      <c r="A318" s="4">
        <v>139.0</v>
      </c>
      <c r="B318" s="5">
        <v>42372.82230324074</v>
      </c>
      <c r="C318" s="4">
        <v>69.0</v>
      </c>
      <c r="D318" s="4" t="str">
        <f>VLOOKUP(C318,inventory,3,true)</f>
        <v>dry_goods</v>
      </c>
    </row>
    <row r="319" ht="14.25" customHeight="1">
      <c r="A319" s="4">
        <v>139.0</v>
      </c>
      <c r="B319" s="5">
        <v>42372.82230324074</v>
      </c>
      <c r="C319" s="4">
        <v>2.0</v>
      </c>
      <c r="D319" s="4" t="str">
        <f>VLOOKUP(C319,inventory,3,true)</f>
        <v>produce</v>
      </c>
    </row>
    <row r="320" ht="14.25" customHeight="1">
      <c r="A320" s="4">
        <v>139.0</v>
      </c>
      <c r="B320" s="5">
        <v>42372.82230324074</v>
      </c>
      <c r="C320" s="4">
        <v>31.0</v>
      </c>
      <c r="D320" s="4" t="str">
        <f>VLOOKUP(C320,inventory,3,true)</f>
        <v>snacks</v>
      </c>
    </row>
    <row r="321" ht="14.25" customHeight="1">
      <c r="A321" s="4">
        <v>142.0</v>
      </c>
      <c r="B321" s="5">
        <v>42375.60196759259</v>
      </c>
      <c r="C321" s="4">
        <v>73.0</v>
      </c>
      <c r="D321" s="4" t="str">
        <f>VLOOKUP(C321,inventory,3,true)</f>
        <v>snacks</v>
      </c>
    </row>
    <row r="322" ht="14.25" customHeight="1">
      <c r="A322" s="4">
        <v>142.0</v>
      </c>
      <c r="B322" s="5">
        <v>42375.60196759259</v>
      </c>
      <c r="C322" s="4">
        <v>31.0</v>
      </c>
      <c r="D322" s="4" t="str">
        <f>VLOOKUP(C322,inventory,3,true)</f>
        <v>snacks</v>
      </c>
    </row>
    <row r="323" ht="14.25" customHeight="1">
      <c r="A323" s="4">
        <v>142.0</v>
      </c>
      <c r="B323" s="5">
        <v>42375.60196759259</v>
      </c>
      <c r="C323" s="4">
        <v>24.0</v>
      </c>
      <c r="D323" s="4" t="str">
        <f>VLOOKUP(C323,inventory,3,true)</f>
        <v>dry_goods</v>
      </c>
    </row>
    <row r="324" ht="14.25" customHeight="1">
      <c r="A324" s="4">
        <v>143.0</v>
      </c>
      <c r="B324" s="5">
        <v>42375.36734953704</v>
      </c>
      <c r="C324" s="4">
        <v>73.0</v>
      </c>
      <c r="D324" s="4" t="str">
        <f>VLOOKUP(C324,inventory,3,true)</f>
        <v>snacks</v>
      </c>
    </row>
    <row r="325" ht="14.25" customHeight="1">
      <c r="A325" s="4">
        <v>143.0</v>
      </c>
      <c r="B325" s="5">
        <v>42375.36734953704</v>
      </c>
      <c r="C325" s="4">
        <v>77.0</v>
      </c>
      <c r="D325" s="4" t="str">
        <f>VLOOKUP(C325,inventory,3,true)</f>
        <v>produce</v>
      </c>
    </row>
    <row r="326" ht="14.25" customHeight="1">
      <c r="A326" s="4">
        <v>143.0</v>
      </c>
      <c r="B326" s="5">
        <v>42375.36734953704</v>
      </c>
      <c r="C326" s="4">
        <v>84.0</v>
      </c>
      <c r="D326" s="4" t="str">
        <f>VLOOKUP(C326,inventory,3,true)</f>
        <v>dry_goods</v>
      </c>
    </row>
    <row r="327" ht="14.25" customHeight="1">
      <c r="A327" s="4">
        <v>144.0</v>
      </c>
      <c r="B327" s="5">
        <v>42374.80342592593</v>
      </c>
      <c r="C327" s="4">
        <v>46.0</v>
      </c>
      <c r="D327" s="4" t="str">
        <f>VLOOKUP(C327,inventory,3,true)</f>
        <v>frozen</v>
      </c>
    </row>
    <row r="328" ht="14.25" customHeight="1">
      <c r="A328" s="4">
        <v>145.0</v>
      </c>
      <c r="B328" s="5">
        <v>42374.56177083333</v>
      </c>
      <c r="C328" s="4">
        <v>52.0</v>
      </c>
      <c r="D328" s="4" t="str">
        <f>VLOOKUP(C328,inventory,3,true)</f>
        <v>dairy</v>
      </c>
    </row>
    <row r="329" ht="14.25" customHeight="1">
      <c r="A329" s="4">
        <v>145.0</v>
      </c>
      <c r="B329" s="5">
        <v>42374.56177083333</v>
      </c>
      <c r="C329" s="4">
        <v>79.0</v>
      </c>
      <c r="D329" s="4" t="str">
        <f>VLOOKUP(C329,inventory,3,true)</f>
        <v>dry_goods</v>
      </c>
    </row>
    <row r="330" ht="14.25" customHeight="1">
      <c r="A330" s="4">
        <v>146.0</v>
      </c>
      <c r="B330" s="5">
        <v>42372.54641203704</v>
      </c>
      <c r="C330" s="4">
        <v>31.0</v>
      </c>
      <c r="D330" s="4" t="str">
        <f>VLOOKUP(C330,inventory,3,true)</f>
        <v>snacks</v>
      </c>
    </row>
    <row r="331" ht="14.25" customHeight="1">
      <c r="A331" s="4">
        <v>147.0</v>
      </c>
      <c r="B331" s="5">
        <v>42377.723020833335</v>
      </c>
      <c r="C331" s="4">
        <v>52.0</v>
      </c>
      <c r="D331" s="4" t="str">
        <f>VLOOKUP(C331,inventory,3,true)</f>
        <v>dairy</v>
      </c>
    </row>
    <row r="332" ht="14.25" customHeight="1">
      <c r="A332" s="4">
        <v>147.0</v>
      </c>
      <c r="B332" s="5">
        <v>42377.723020833335</v>
      </c>
      <c r="C332" s="4">
        <v>39.0</v>
      </c>
      <c r="D332" s="4" t="str">
        <f>VLOOKUP(C332,inventory,3,true)</f>
        <v>snacks</v>
      </c>
    </row>
    <row r="333" ht="14.25" customHeight="1">
      <c r="A333" s="4">
        <v>147.0</v>
      </c>
      <c r="B333" s="5">
        <v>42377.723020833335</v>
      </c>
      <c r="C333" s="4">
        <v>58.0</v>
      </c>
      <c r="D333" s="4" t="str">
        <f>VLOOKUP(C333,inventory,3,true)</f>
        <v>dry_goods</v>
      </c>
    </row>
    <row r="334" ht="14.25" customHeight="1">
      <c r="A334" s="4">
        <v>148.0</v>
      </c>
      <c r="B334" s="5">
        <v>42372.77371527778</v>
      </c>
      <c r="C334" s="4">
        <v>15.0</v>
      </c>
      <c r="D334" s="4" t="str">
        <f>VLOOKUP(C334,inventory,3,true)</f>
        <v>snacks</v>
      </c>
    </row>
    <row r="335" ht="14.25" customHeight="1">
      <c r="A335" s="4">
        <v>149.0</v>
      </c>
      <c r="B335" s="5">
        <v>42377.659907407404</v>
      </c>
      <c r="C335" s="4">
        <v>71.0</v>
      </c>
      <c r="D335" s="4" t="str">
        <f>VLOOKUP(C335,inventory,3,true)</f>
        <v>dry_goods</v>
      </c>
    </row>
    <row r="336" ht="14.25" customHeight="1">
      <c r="A336" s="4">
        <v>149.0</v>
      </c>
      <c r="B336" s="5">
        <v>42377.659907407404</v>
      </c>
      <c r="C336" s="4">
        <v>54.0</v>
      </c>
      <c r="D336" s="4" t="str">
        <f>VLOOKUP(C336,inventory,3,true)</f>
        <v>dairy</v>
      </c>
    </row>
    <row r="337" ht="14.25" customHeight="1">
      <c r="A337" s="4">
        <v>151.0</v>
      </c>
      <c r="B337" s="5">
        <v>42375.7428125</v>
      </c>
      <c r="C337" s="4">
        <v>9.0</v>
      </c>
      <c r="D337" s="4" t="str">
        <f>VLOOKUP(C337,inventory,3,true)</f>
        <v>produce</v>
      </c>
    </row>
    <row r="338" ht="14.25" customHeight="1">
      <c r="A338" s="4">
        <v>151.0</v>
      </c>
      <c r="B338" s="5">
        <v>42375.7428125</v>
      </c>
      <c r="C338" s="4">
        <v>12.0</v>
      </c>
      <c r="D338" s="4" t="str">
        <f>VLOOKUP(C338,inventory,3,true)</f>
        <v>dairy</v>
      </c>
    </row>
    <row r="339" ht="14.25" customHeight="1">
      <c r="A339" s="4">
        <v>151.0</v>
      </c>
      <c r="B339" s="5">
        <v>42375.7428125</v>
      </c>
      <c r="C339" s="4">
        <v>13.0</v>
      </c>
      <c r="D339" s="4" t="str">
        <f>VLOOKUP(C339,inventory,3,true)</f>
        <v>beverages</v>
      </c>
    </row>
    <row r="340" ht="14.25" customHeight="1">
      <c r="A340" s="4">
        <v>152.0</v>
      </c>
      <c r="B340" s="5">
        <v>42372.52517361111</v>
      </c>
      <c r="C340" s="4">
        <v>84.0</v>
      </c>
      <c r="D340" s="4" t="str">
        <f>VLOOKUP(C340,inventory,3,true)</f>
        <v>dry_goods</v>
      </c>
    </row>
    <row r="341" ht="14.25" customHeight="1">
      <c r="A341" s="4">
        <v>152.0</v>
      </c>
      <c r="B341" s="5">
        <v>42372.52517361111</v>
      </c>
      <c r="C341" s="4">
        <v>65.0</v>
      </c>
      <c r="D341" s="4" t="str">
        <f>VLOOKUP(C341,inventory,3,true)</f>
        <v>produce</v>
      </c>
    </row>
    <row r="342" ht="14.25" customHeight="1">
      <c r="A342" s="4">
        <v>153.0</v>
      </c>
      <c r="B342" s="5">
        <v>42375.37351851852</v>
      </c>
      <c r="C342" s="4">
        <v>1.0</v>
      </c>
      <c r="D342" s="4" t="str">
        <f>VLOOKUP(C342,inventory,3,true)</f>
        <v>produce</v>
      </c>
    </row>
    <row r="343" ht="14.25" customHeight="1">
      <c r="A343" s="4">
        <v>153.0</v>
      </c>
      <c r="B343" s="5">
        <v>42375.37351851852</v>
      </c>
      <c r="C343" s="4">
        <v>56.0</v>
      </c>
      <c r="D343" s="4" t="str">
        <f>VLOOKUP(C343,inventory,3,true)</f>
        <v>dry_goods</v>
      </c>
    </row>
    <row r="344" ht="14.25" customHeight="1">
      <c r="A344" s="4">
        <v>154.0</v>
      </c>
      <c r="B344" s="5">
        <v>42375.6030787037</v>
      </c>
      <c r="C344" s="4">
        <v>54.0</v>
      </c>
      <c r="D344" s="4" t="str">
        <f>VLOOKUP(C344,inventory,3,true)</f>
        <v>dairy</v>
      </c>
    </row>
    <row r="345" ht="14.25" customHeight="1">
      <c r="A345" s="4">
        <v>154.0</v>
      </c>
      <c r="B345" s="5">
        <v>42375.6030787037</v>
      </c>
      <c r="C345" s="4">
        <v>64.0</v>
      </c>
      <c r="D345" s="4" t="str">
        <f>VLOOKUP(C345,inventory,3,true)</f>
        <v>produce</v>
      </c>
    </row>
    <row r="346" ht="14.25" customHeight="1">
      <c r="A346" s="4">
        <v>155.0</v>
      </c>
      <c r="B346" s="5">
        <v>42376.77391203704</v>
      </c>
      <c r="C346" s="4">
        <v>12.0</v>
      </c>
      <c r="D346" s="4" t="str">
        <f>VLOOKUP(C346,inventory,3,true)</f>
        <v>dairy</v>
      </c>
    </row>
    <row r="347" ht="14.25" customHeight="1">
      <c r="A347" s="4">
        <v>155.0</v>
      </c>
      <c r="B347" s="5">
        <v>42376.77391203704</v>
      </c>
      <c r="C347" s="4">
        <v>69.0</v>
      </c>
      <c r="D347" s="4" t="str">
        <f>VLOOKUP(C347,inventory,3,true)</f>
        <v>dry_goods</v>
      </c>
    </row>
    <row r="348" ht="14.25" customHeight="1">
      <c r="A348" s="4">
        <v>156.0</v>
      </c>
      <c r="B348" s="5">
        <v>42375.806863425925</v>
      </c>
      <c r="C348" s="4">
        <v>37.0</v>
      </c>
      <c r="D348" s="4" t="str">
        <f>VLOOKUP(C348,inventory,3,true)</f>
        <v>frozen</v>
      </c>
    </row>
    <row r="349" ht="14.25" customHeight="1">
      <c r="A349" s="4">
        <v>157.0</v>
      </c>
      <c r="B349" s="5">
        <v>42373.621041666665</v>
      </c>
      <c r="C349" s="4">
        <v>8.0</v>
      </c>
      <c r="D349" s="4" t="str">
        <f>VLOOKUP(C349,inventory,3,true)</f>
        <v>produce</v>
      </c>
    </row>
    <row r="350" ht="14.25" customHeight="1">
      <c r="A350" s="4">
        <v>157.0</v>
      </c>
      <c r="B350" s="5">
        <v>42373.621041666665</v>
      </c>
      <c r="C350" s="4">
        <v>8.0</v>
      </c>
      <c r="D350" s="4" t="str">
        <f>VLOOKUP(C350,inventory,3,true)</f>
        <v>produce</v>
      </c>
    </row>
    <row r="351" ht="14.25" customHeight="1">
      <c r="A351" s="4">
        <v>157.0</v>
      </c>
      <c r="B351" s="5">
        <v>42373.621041666665</v>
      </c>
      <c r="C351" s="4">
        <v>61.0</v>
      </c>
      <c r="D351" s="4" t="str">
        <f>VLOOKUP(C351,inventory,3,true)</f>
        <v>produce</v>
      </c>
    </row>
    <row r="352" ht="14.25" customHeight="1">
      <c r="A352" s="4">
        <v>158.0</v>
      </c>
      <c r="B352" s="5">
        <v>42377.51608796296</v>
      </c>
      <c r="C352" s="4">
        <v>9.0</v>
      </c>
      <c r="D352" s="4" t="str">
        <f>VLOOKUP(C352,inventory,3,true)</f>
        <v>produce</v>
      </c>
    </row>
    <row r="353" ht="14.25" customHeight="1">
      <c r="A353" s="4">
        <v>158.0</v>
      </c>
      <c r="B353" s="5">
        <v>42377.51608796296</v>
      </c>
      <c r="C353" s="4">
        <v>29.0</v>
      </c>
      <c r="D353" s="4" t="str">
        <f>VLOOKUP(C353,inventory,3,true)</f>
        <v>dairy</v>
      </c>
    </row>
    <row r="354" ht="14.25" customHeight="1">
      <c r="A354" s="4">
        <v>158.0</v>
      </c>
      <c r="B354" s="5">
        <v>42377.51608796296</v>
      </c>
      <c r="C354" s="4">
        <v>72.0</v>
      </c>
      <c r="D354" s="4" t="str">
        <f>VLOOKUP(C354,inventory,3,true)</f>
        <v>dry_goods</v>
      </c>
    </row>
    <row r="355" ht="14.25" customHeight="1">
      <c r="A355" s="4">
        <v>158.0</v>
      </c>
      <c r="B355" s="5">
        <v>42377.51608796296</v>
      </c>
      <c r="C355" s="4">
        <v>54.0</v>
      </c>
      <c r="D355" s="4" t="str">
        <f>VLOOKUP(C355,inventory,3,true)</f>
        <v>dairy</v>
      </c>
    </row>
    <row r="356" ht="14.25" customHeight="1">
      <c r="A356" s="4">
        <v>158.0</v>
      </c>
      <c r="B356" s="5">
        <v>42377.51608796296</v>
      </c>
      <c r="C356" s="4">
        <v>47.0</v>
      </c>
      <c r="D356" s="4" t="str">
        <f>VLOOKUP(C356,inventory,3,true)</f>
        <v>dairy</v>
      </c>
    </row>
    <row r="357" ht="14.25" customHeight="1">
      <c r="A357" s="4">
        <v>159.0</v>
      </c>
      <c r="B357" s="5">
        <v>42373.523564814815</v>
      </c>
      <c r="C357" s="4">
        <v>77.0</v>
      </c>
      <c r="D357" s="4" t="str">
        <f>VLOOKUP(C357,inventory,3,true)</f>
        <v>produce</v>
      </c>
    </row>
    <row r="358" ht="14.25" customHeight="1">
      <c r="A358" s="4">
        <v>159.0</v>
      </c>
      <c r="B358" s="5">
        <v>42373.523564814815</v>
      </c>
      <c r="C358" s="4">
        <v>25.0</v>
      </c>
      <c r="D358" s="4" t="str">
        <f>VLOOKUP(C358,inventory,3,true)</f>
        <v>meat</v>
      </c>
    </row>
    <row r="359" ht="14.25" customHeight="1">
      <c r="A359" s="4">
        <v>159.0</v>
      </c>
      <c r="B359" s="5">
        <v>42373.523564814815</v>
      </c>
      <c r="C359" s="4">
        <v>78.0</v>
      </c>
      <c r="D359" s="4" t="str">
        <f>VLOOKUP(C359,inventory,3,true)</f>
        <v>dry_goods</v>
      </c>
    </row>
    <row r="360" ht="14.25" customHeight="1">
      <c r="A360" s="4">
        <v>160.0</v>
      </c>
      <c r="B360" s="5">
        <v>42373.81024305556</v>
      </c>
      <c r="C360" s="4">
        <v>1.0</v>
      </c>
      <c r="D360" s="4" t="str">
        <f>VLOOKUP(C360,inventory,3,true)</f>
        <v>produce</v>
      </c>
    </row>
    <row r="361" ht="14.25" customHeight="1">
      <c r="A361" s="4">
        <v>160.0</v>
      </c>
      <c r="B361" s="5">
        <v>42373.81024305556</v>
      </c>
      <c r="C361" s="4">
        <v>13.0</v>
      </c>
      <c r="D361" s="4" t="str">
        <f>VLOOKUP(C361,inventory,3,true)</f>
        <v>beverages</v>
      </c>
    </row>
    <row r="362" ht="14.25" customHeight="1">
      <c r="A362" s="4">
        <v>160.0</v>
      </c>
      <c r="B362" s="5">
        <v>42373.81024305556</v>
      </c>
      <c r="C362" s="4">
        <v>32.0</v>
      </c>
      <c r="D362" s="4" t="str">
        <f>VLOOKUP(C362,inventory,3,true)</f>
        <v>produce</v>
      </c>
    </row>
    <row r="363" ht="14.25" customHeight="1">
      <c r="A363" s="4">
        <v>161.0</v>
      </c>
      <c r="B363" s="5">
        <v>42372.586180555554</v>
      </c>
      <c r="C363" s="4">
        <v>40.0</v>
      </c>
      <c r="D363" s="4" t="str">
        <f>VLOOKUP(C363,inventory,3,true)</f>
        <v>frozen</v>
      </c>
    </row>
    <row r="364" ht="14.25" customHeight="1">
      <c r="A364" s="4">
        <v>162.0</v>
      </c>
      <c r="B364" s="5">
        <v>42374.558541666665</v>
      </c>
      <c r="C364" s="4">
        <v>55.0</v>
      </c>
      <c r="D364" s="4" t="str">
        <f>VLOOKUP(C364,inventory,3,true)</f>
        <v>dairy</v>
      </c>
    </row>
    <row r="365" ht="14.25" customHeight="1">
      <c r="A365" s="4">
        <v>162.0</v>
      </c>
      <c r="B365" s="5">
        <v>42374.558541666665</v>
      </c>
      <c r="C365" s="4">
        <v>61.0</v>
      </c>
      <c r="D365" s="4" t="str">
        <f>VLOOKUP(C365,inventory,3,true)</f>
        <v>produce</v>
      </c>
    </row>
    <row r="366" ht="14.25" customHeight="1">
      <c r="A366" s="4">
        <v>163.0</v>
      </c>
      <c r="B366" s="5">
        <v>42372.42456018519</v>
      </c>
      <c r="C366" s="4">
        <v>3.0</v>
      </c>
      <c r="D366" s="4" t="str">
        <f>VLOOKUP(C366,inventory,3,true)</f>
        <v>produce</v>
      </c>
    </row>
    <row r="367" ht="14.25" customHeight="1">
      <c r="A367" s="4">
        <v>163.0</v>
      </c>
      <c r="B367" s="5">
        <v>42372.42456018519</v>
      </c>
      <c r="C367" s="4">
        <v>6.0</v>
      </c>
      <c r="D367" s="4" t="str">
        <f>VLOOKUP(C367,inventory,3,true)</f>
        <v>produce</v>
      </c>
    </row>
    <row r="368" ht="14.25" customHeight="1">
      <c r="A368" s="4">
        <v>163.0</v>
      </c>
      <c r="B368" s="5">
        <v>42372.42456018519</v>
      </c>
      <c r="C368" s="4">
        <v>62.0</v>
      </c>
      <c r="D368" s="4" t="str">
        <f>VLOOKUP(C368,inventory,3,true)</f>
        <v>dry_goods</v>
      </c>
    </row>
    <row r="369" ht="14.25" customHeight="1">
      <c r="A369" s="4">
        <v>163.0</v>
      </c>
      <c r="B369" s="5">
        <v>42372.42456018519</v>
      </c>
      <c r="C369" s="4">
        <v>26.0</v>
      </c>
      <c r="D369" s="4" t="str">
        <f>VLOOKUP(C369,inventory,3,true)</f>
        <v>beverages</v>
      </c>
    </row>
    <row r="370" ht="14.25" customHeight="1">
      <c r="A370" s="4">
        <v>163.0</v>
      </c>
      <c r="B370" s="5">
        <v>42372.42456018519</v>
      </c>
      <c r="C370" s="4">
        <v>51.0</v>
      </c>
      <c r="D370" s="4" t="str">
        <f>VLOOKUP(C370,inventory,3,true)</f>
        <v>dairy</v>
      </c>
    </row>
    <row r="371" ht="14.25" customHeight="1">
      <c r="A371" s="4">
        <v>163.0</v>
      </c>
      <c r="B371" s="5">
        <v>42372.42456018519</v>
      </c>
      <c r="C371" s="4">
        <v>60.0</v>
      </c>
      <c r="D371" s="4" t="str">
        <f>VLOOKUP(C371,inventory,3,true)</f>
        <v>produce</v>
      </c>
    </row>
    <row r="372" ht="14.25" customHeight="1">
      <c r="A372" s="4">
        <v>164.0</v>
      </c>
      <c r="B372" s="5">
        <v>42375.80626157407</v>
      </c>
      <c r="C372" s="4">
        <v>2.0</v>
      </c>
      <c r="D372" s="4" t="str">
        <f>VLOOKUP(C372,inventory,3,true)</f>
        <v>produce</v>
      </c>
    </row>
    <row r="373" ht="14.25" customHeight="1">
      <c r="A373" s="4">
        <v>164.0</v>
      </c>
      <c r="B373" s="5">
        <v>42375.80626157407</v>
      </c>
      <c r="C373" s="4">
        <v>31.0</v>
      </c>
      <c r="D373" s="4" t="str">
        <f>VLOOKUP(C373,inventory,3,true)</f>
        <v>snacks</v>
      </c>
    </row>
    <row r="374" ht="14.25" customHeight="1">
      <c r="A374" s="4">
        <v>164.0</v>
      </c>
      <c r="B374" s="5">
        <v>42375.80626157407</v>
      </c>
      <c r="C374" s="4">
        <v>58.0</v>
      </c>
      <c r="D374" s="4" t="str">
        <f>VLOOKUP(C374,inventory,3,true)</f>
        <v>dry_goods</v>
      </c>
    </row>
    <row r="375" ht="14.25" customHeight="1">
      <c r="A375" s="4">
        <v>165.0</v>
      </c>
      <c r="B375" s="5">
        <v>42372.79310185185</v>
      </c>
      <c r="C375" s="4">
        <v>28.0</v>
      </c>
      <c r="D375" s="4" t="str">
        <f>VLOOKUP(C375,inventory,3,true)</f>
        <v>dry_goods</v>
      </c>
    </row>
    <row r="376" ht="14.25" customHeight="1">
      <c r="A376" s="4">
        <v>165.0</v>
      </c>
      <c r="B376" s="5">
        <v>42372.79310185185</v>
      </c>
      <c r="C376" s="4">
        <v>57.0</v>
      </c>
      <c r="D376" s="4" t="str">
        <f>VLOOKUP(C376,inventory,3,true)</f>
        <v>produce</v>
      </c>
    </row>
    <row r="377" ht="14.25" customHeight="1">
      <c r="A377" s="4">
        <v>166.0</v>
      </c>
      <c r="B377" s="5">
        <v>42373.78530092593</v>
      </c>
      <c r="C377" s="4">
        <v>63.0</v>
      </c>
      <c r="D377" s="4" t="str">
        <f>VLOOKUP(C377,inventory,3,true)</f>
        <v>produce</v>
      </c>
    </row>
    <row r="378" ht="14.25" customHeight="1">
      <c r="A378" s="4">
        <v>166.0</v>
      </c>
      <c r="B378" s="5">
        <v>42373.78530092593</v>
      </c>
      <c r="C378" s="4">
        <v>70.0</v>
      </c>
      <c r="D378" s="4" t="str">
        <f>VLOOKUP(C378,inventory,3,true)</f>
        <v>dry_goods</v>
      </c>
    </row>
    <row r="379" ht="14.25" customHeight="1">
      <c r="A379" s="4">
        <v>167.0</v>
      </c>
      <c r="B379" s="5">
        <v>42374.70038194444</v>
      </c>
      <c r="C379" s="4">
        <v>79.0</v>
      </c>
      <c r="D379" s="4" t="str">
        <f>VLOOKUP(C379,inventory,3,true)</f>
        <v>dry_goods</v>
      </c>
    </row>
    <row r="380" ht="14.25" customHeight="1">
      <c r="A380" s="4">
        <v>168.0</v>
      </c>
      <c r="B380" s="5">
        <v>42375.728368055556</v>
      </c>
      <c r="C380" s="4">
        <v>39.0</v>
      </c>
      <c r="D380" s="4" t="str">
        <f>VLOOKUP(C380,inventory,3,true)</f>
        <v>snacks</v>
      </c>
    </row>
    <row r="381" ht="14.25" customHeight="1">
      <c r="A381" s="4">
        <v>168.0</v>
      </c>
      <c r="B381" s="5">
        <v>42375.728368055556</v>
      </c>
      <c r="C381" s="4">
        <v>65.0</v>
      </c>
      <c r="D381" s="4" t="str">
        <f>VLOOKUP(C381,inventory,3,true)</f>
        <v>produce</v>
      </c>
    </row>
    <row r="382" ht="14.25" customHeight="1">
      <c r="A382" s="4">
        <v>169.0</v>
      </c>
      <c r="B382" s="5">
        <v>42375.3347337963</v>
      </c>
      <c r="C382" s="4">
        <v>37.0</v>
      </c>
      <c r="D382" s="4" t="str">
        <f>VLOOKUP(C382,inventory,3,true)</f>
        <v>frozen</v>
      </c>
    </row>
    <row r="383" ht="14.25" customHeight="1">
      <c r="A383" s="4">
        <v>169.0</v>
      </c>
      <c r="B383" s="5">
        <v>42375.3347337963</v>
      </c>
      <c r="C383" s="4">
        <v>44.0</v>
      </c>
      <c r="D383" s="4" t="str">
        <f>VLOOKUP(C383,inventory,3,true)</f>
        <v>frozen</v>
      </c>
    </row>
    <row r="384" ht="14.25" customHeight="1">
      <c r="A384" s="4">
        <v>170.0</v>
      </c>
      <c r="B384" s="5">
        <v>42373.68337962963</v>
      </c>
      <c r="C384" s="4">
        <v>2.0</v>
      </c>
      <c r="D384" s="4" t="str">
        <f>VLOOKUP(C384,inventory,3,true)</f>
        <v>produce</v>
      </c>
    </row>
    <row r="385" ht="14.25" customHeight="1">
      <c r="A385" s="4">
        <v>170.0</v>
      </c>
      <c r="B385" s="5">
        <v>42373.68337962963</v>
      </c>
      <c r="C385" s="4">
        <v>74.0</v>
      </c>
      <c r="D385" s="4" t="str">
        <f>VLOOKUP(C385,inventory,3,true)</f>
        <v>snacks</v>
      </c>
    </row>
    <row r="386" ht="14.25" customHeight="1">
      <c r="A386" s="4">
        <v>170.0</v>
      </c>
      <c r="B386" s="5">
        <v>42373.68337962963</v>
      </c>
      <c r="C386" s="4">
        <v>9.0</v>
      </c>
      <c r="D386" s="4" t="str">
        <f>VLOOKUP(C386,inventory,3,true)</f>
        <v>produce</v>
      </c>
    </row>
    <row r="387" ht="14.25" customHeight="1">
      <c r="A387" s="4">
        <v>171.0</v>
      </c>
      <c r="B387" s="5">
        <v>42377.74636574074</v>
      </c>
      <c r="C387" s="4">
        <v>78.0</v>
      </c>
      <c r="D387" s="4" t="str">
        <f>VLOOKUP(C387,inventory,3,true)</f>
        <v>dry_goods</v>
      </c>
    </row>
    <row r="388" ht="14.25" customHeight="1">
      <c r="A388" s="4">
        <v>171.0</v>
      </c>
      <c r="B388" s="5">
        <v>42377.74636574074</v>
      </c>
      <c r="C388" s="4">
        <v>43.0</v>
      </c>
      <c r="D388" s="4" t="str">
        <f>VLOOKUP(C388,inventory,3,true)</f>
        <v>bread</v>
      </c>
    </row>
    <row r="389" ht="14.25" customHeight="1">
      <c r="A389" s="4">
        <v>171.0</v>
      </c>
      <c r="B389" s="5">
        <v>42377.74636574074</v>
      </c>
      <c r="C389" s="4">
        <v>18.0</v>
      </c>
      <c r="D389" s="4" t="str">
        <f>VLOOKUP(C389,inventory,3,true)</f>
        <v>dry_goods</v>
      </c>
    </row>
    <row r="390" ht="14.25" customHeight="1">
      <c r="A390" s="4">
        <v>172.0</v>
      </c>
      <c r="B390" s="5">
        <v>42377.33458333334</v>
      </c>
      <c r="C390" s="4">
        <v>46.0</v>
      </c>
      <c r="D390" s="4" t="str">
        <f>VLOOKUP(C390,inventory,3,true)</f>
        <v>frozen</v>
      </c>
    </row>
    <row r="391" ht="14.25" customHeight="1">
      <c r="A391" s="4">
        <v>172.0</v>
      </c>
      <c r="B391" s="5">
        <v>42377.33458333334</v>
      </c>
      <c r="C391" s="4">
        <v>82.0</v>
      </c>
      <c r="D391" s="4" t="str">
        <f>VLOOKUP(C391,inventory,3,true)</f>
        <v>dry_goods</v>
      </c>
    </row>
    <row r="392" ht="14.25" customHeight="1">
      <c r="A392" s="4">
        <v>173.0</v>
      </c>
      <c r="B392" s="5">
        <v>42374.374930555554</v>
      </c>
      <c r="C392" s="4">
        <v>42.0</v>
      </c>
      <c r="D392" s="4" t="str">
        <f>VLOOKUP(C392,inventory,3,true)</f>
        <v>produce</v>
      </c>
    </row>
    <row r="393" ht="14.25" customHeight="1">
      <c r="A393" s="4">
        <v>173.0</v>
      </c>
      <c r="B393" s="5">
        <v>42374.374930555554</v>
      </c>
      <c r="C393" s="4">
        <v>59.0</v>
      </c>
      <c r="D393" s="4" t="str">
        <f>VLOOKUP(C393,inventory,3,true)</f>
        <v>produce</v>
      </c>
    </row>
    <row r="394" ht="14.25" customHeight="1">
      <c r="A394" s="4">
        <v>173.0</v>
      </c>
      <c r="B394" s="5">
        <v>42374.374930555554</v>
      </c>
      <c r="C394" s="4">
        <v>71.0</v>
      </c>
      <c r="D394" s="4" t="str">
        <f>VLOOKUP(C394,inventory,3,true)</f>
        <v>dry_goods</v>
      </c>
    </row>
    <row r="395" ht="14.25" customHeight="1">
      <c r="A395" s="4">
        <v>174.0</v>
      </c>
      <c r="B395" s="5">
        <v>42373.76384259259</v>
      </c>
      <c r="C395" s="4">
        <v>56.0</v>
      </c>
      <c r="D395" s="4" t="str">
        <f>VLOOKUP(C395,inventory,3,true)</f>
        <v>dry_goods</v>
      </c>
    </row>
    <row r="396" ht="14.25" customHeight="1">
      <c r="A396" s="4">
        <v>174.0</v>
      </c>
      <c r="B396" s="5">
        <v>42373.76384259259</v>
      </c>
      <c r="C396" s="4">
        <v>49.0</v>
      </c>
      <c r="D396" s="4" t="str">
        <f>VLOOKUP(C396,inventory,3,true)</f>
        <v>dairy</v>
      </c>
    </row>
    <row r="397" ht="14.25" customHeight="1">
      <c r="A397" s="4">
        <v>174.0</v>
      </c>
      <c r="B397" s="5">
        <v>42373.76384259259</v>
      </c>
      <c r="C397" s="4">
        <v>30.0</v>
      </c>
      <c r="D397" s="4" t="str">
        <f>VLOOKUP(C397,inventory,3,true)</f>
        <v>dairy</v>
      </c>
    </row>
    <row r="398" ht="14.25" customHeight="1">
      <c r="A398" s="4">
        <v>175.0</v>
      </c>
      <c r="B398" s="5">
        <v>42372.49864583334</v>
      </c>
      <c r="C398" s="4">
        <v>15.0</v>
      </c>
      <c r="D398" s="4" t="str">
        <f>VLOOKUP(C398,inventory,3,true)</f>
        <v>snacks</v>
      </c>
    </row>
    <row r="399" ht="14.25" customHeight="1">
      <c r="A399" s="4">
        <v>175.0</v>
      </c>
      <c r="B399" s="5">
        <v>42372.49864583334</v>
      </c>
      <c r="C399" s="4">
        <v>48.0</v>
      </c>
      <c r="D399" s="4" t="str">
        <f>VLOOKUP(C399,inventory,3,true)</f>
        <v>dry_goods</v>
      </c>
    </row>
    <row r="400" ht="14.25" customHeight="1">
      <c r="A400" s="4">
        <v>175.0</v>
      </c>
      <c r="B400" s="5">
        <v>42372.49864583334</v>
      </c>
      <c r="C400" s="4">
        <v>79.0</v>
      </c>
      <c r="D400" s="4" t="str">
        <f>VLOOKUP(C400,inventory,3,true)</f>
        <v>dry_goods</v>
      </c>
    </row>
    <row r="401" ht="14.25" customHeight="1">
      <c r="A401" s="4">
        <v>176.0</v>
      </c>
      <c r="B401" s="5">
        <v>42375.687106481484</v>
      </c>
      <c r="C401" s="4">
        <v>71.0</v>
      </c>
      <c r="D401" s="4" t="str">
        <f>VLOOKUP(C401,inventory,3,true)</f>
        <v>dry_goods</v>
      </c>
    </row>
    <row r="402" ht="14.25" customHeight="1">
      <c r="A402" s="4">
        <v>176.0</v>
      </c>
      <c r="B402" s="5">
        <v>42375.687106481484</v>
      </c>
      <c r="C402" s="4">
        <v>53.0</v>
      </c>
      <c r="D402" s="4" t="str">
        <f>VLOOKUP(C402,inventory,3,true)</f>
        <v>dairy</v>
      </c>
    </row>
    <row r="403" ht="14.25" customHeight="1">
      <c r="A403" s="4">
        <v>176.0</v>
      </c>
      <c r="B403" s="5">
        <v>42375.687106481484</v>
      </c>
      <c r="C403" s="4">
        <v>63.0</v>
      </c>
      <c r="D403" s="4" t="str">
        <f>VLOOKUP(C403,inventory,3,true)</f>
        <v>produce</v>
      </c>
    </row>
    <row r="404" ht="14.25" customHeight="1">
      <c r="A404" s="4">
        <v>176.0</v>
      </c>
      <c r="B404" s="5">
        <v>42375.687106481484</v>
      </c>
      <c r="C404" s="4">
        <v>77.0</v>
      </c>
      <c r="D404" s="4" t="str">
        <f>VLOOKUP(C404,inventory,3,true)</f>
        <v>produce</v>
      </c>
    </row>
    <row r="405" ht="14.25" customHeight="1">
      <c r="A405" s="4">
        <v>177.0</v>
      </c>
      <c r="B405" s="5">
        <v>42372.471030092594</v>
      </c>
      <c r="C405" s="4">
        <v>66.0</v>
      </c>
      <c r="D405" s="4" t="str">
        <f>VLOOKUP(C405,inventory,3,true)</f>
        <v>produce</v>
      </c>
    </row>
    <row r="406" ht="14.25" customHeight="1">
      <c r="A406" s="4">
        <v>177.0</v>
      </c>
      <c r="B406" s="5">
        <v>42372.471030092594</v>
      </c>
      <c r="C406" s="4">
        <v>44.0</v>
      </c>
      <c r="D406" s="4" t="str">
        <f>VLOOKUP(C406,inventory,3,true)</f>
        <v>frozen</v>
      </c>
    </row>
    <row r="407" ht="14.25" customHeight="1">
      <c r="A407" s="4">
        <v>177.0</v>
      </c>
      <c r="B407" s="5">
        <v>42372.471030092594</v>
      </c>
      <c r="C407" s="4">
        <v>43.0</v>
      </c>
      <c r="D407" s="4" t="str">
        <f>VLOOKUP(C407,inventory,3,true)</f>
        <v>bread</v>
      </c>
    </row>
    <row r="408" ht="14.25" customHeight="1">
      <c r="A408" s="4">
        <v>178.0</v>
      </c>
      <c r="B408" s="5">
        <v>42375.57612268518</v>
      </c>
      <c r="C408" s="4">
        <v>39.0</v>
      </c>
      <c r="D408" s="4" t="str">
        <f>VLOOKUP(C408,inventory,3,true)</f>
        <v>snacks</v>
      </c>
    </row>
    <row r="409" ht="14.25" customHeight="1">
      <c r="A409" s="4">
        <v>178.0</v>
      </c>
      <c r="B409" s="5">
        <v>42375.57612268518</v>
      </c>
      <c r="C409" s="4">
        <v>51.0</v>
      </c>
      <c r="D409" s="4" t="str">
        <f>VLOOKUP(C409,inventory,3,true)</f>
        <v>dairy</v>
      </c>
    </row>
    <row r="410" ht="14.25" customHeight="1">
      <c r="A410" s="4">
        <v>179.0</v>
      </c>
      <c r="B410" s="5">
        <v>42377.52846064815</v>
      </c>
      <c r="C410" s="4">
        <v>22.0</v>
      </c>
      <c r="D410" s="4" t="str">
        <f>VLOOKUP(C410,inventory,3,true)</f>
        <v>meat</v>
      </c>
    </row>
    <row r="411" ht="14.25" customHeight="1">
      <c r="A411" s="4">
        <v>179.0</v>
      </c>
      <c r="B411" s="5">
        <v>42377.52846064815</v>
      </c>
      <c r="C411" s="4">
        <v>36.0</v>
      </c>
      <c r="D411" s="4" t="str">
        <f>VLOOKUP(C411,inventory,3,true)</f>
        <v>canned_jarred_goods</v>
      </c>
    </row>
    <row r="412" ht="14.25" customHeight="1">
      <c r="A412" s="4">
        <v>180.0</v>
      </c>
      <c r="B412" s="5">
        <v>42376.34144675926</v>
      </c>
      <c r="C412" s="4">
        <v>26.0</v>
      </c>
      <c r="D412" s="4" t="str">
        <f>VLOOKUP(C412,inventory,3,true)</f>
        <v>beverages</v>
      </c>
    </row>
    <row r="413" ht="14.25" customHeight="1">
      <c r="A413" s="4">
        <v>182.0</v>
      </c>
      <c r="B413" s="5">
        <v>42375.53706018518</v>
      </c>
      <c r="C413" s="4">
        <v>36.0</v>
      </c>
      <c r="D413" s="4" t="str">
        <f>VLOOKUP(C413,inventory,3,true)</f>
        <v>canned_jarred_goods</v>
      </c>
    </row>
    <row r="414" ht="14.25" customHeight="1">
      <c r="A414" s="4">
        <v>182.0</v>
      </c>
      <c r="B414" s="5">
        <v>42375.53706018518</v>
      </c>
      <c r="C414" s="4">
        <v>29.0</v>
      </c>
      <c r="D414" s="4" t="str">
        <f>VLOOKUP(C414,inventory,3,true)</f>
        <v>dairy</v>
      </c>
    </row>
    <row r="415" ht="14.25" customHeight="1">
      <c r="A415" s="4">
        <v>182.0</v>
      </c>
      <c r="B415" s="5">
        <v>42375.53706018518</v>
      </c>
      <c r="C415" s="4">
        <v>6.0</v>
      </c>
      <c r="D415" s="4" t="str">
        <f>VLOOKUP(C415,inventory,3,true)</f>
        <v>produce</v>
      </c>
    </row>
    <row r="416" ht="14.25" customHeight="1">
      <c r="A416" s="4">
        <v>183.0</v>
      </c>
      <c r="B416" s="5">
        <v>42374.593206018515</v>
      </c>
      <c r="C416" s="4">
        <v>16.0</v>
      </c>
      <c r="D416" s="4" t="str">
        <f>VLOOKUP(C416,inventory,3,true)</f>
        <v>snacks</v>
      </c>
    </row>
    <row r="417" ht="14.25" customHeight="1">
      <c r="A417" s="4">
        <v>184.0</v>
      </c>
      <c r="B417" s="5">
        <v>42377.43006944445</v>
      </c>
      <c r="C417" s="4">
        <v>6.0</v>
      </c>
      <c r="D417" s="4" t="str">
        <f>VLOOKUP(C417,inventory,3,true)</f>
        <v>produce</v>
      </c>
    </row>
    <row r="418" ht="14.25" customHeight="1">
      <c r="A418" s="4">
        <v>185.0</v>
      </c>
      <c r="B418" s="5">
        <v>42376.46288194445</v>
      </c>
      <c r="C418" s="4">
        <v>11.0</v>
      </c>
      <c r="D418" s="4" t="str">
        <f>VLOOKUP(C418,inventory,3,true)</f>
        <v>produce</v>
      </c>
    </row>
    <row r="419" ht="14.25" customHeight="1">
      <c r="A419" s="4">
        <v>185.0</v>
      </c>
      <c r="B419" s="5">
        <v>42376.46288194445</v>
      </c>
      <c r="C419" s="4">
        <v>22.0</v>
      </c>
      <c r="D419" s="4" t="str">
        <f>VLOOKUP(C419,inventory,3,true)</f>
        <v>meat</v>
      </c>
    </row>
    <row r="420" ht="14.25" customHeight="1">
      <c r="A420" s="4">
        <v>186.0</v>
      </c>
      <c r="B420" s="5">
        <v>42375.38570601852</v>
      </c>
      <c r="C420" s="4">
        <v>74.0</v>
      </c>
      <c r="D420" s="4" t="str">
        <f>VLOOKUP(C420,inventory,3,true)</f>
        <v>snacks</v>
      </c>
    </row>
    <row r="421" ht="14.25" customHeight="1">
      <c r="A421" s="4">
        <v>186.0</v>
      </c>
      <c r="B421" s="5">
        <v>42375.38570601852</v>
      </c>
      <c r="C421" s="4">
        <v>54.0</v>
      </c>
      <c r="D421" s="4" t="str">
        <f>VLOOKUP(C421,inventory,3,true)</f>
        <v>dairy</v>
      </c>
    </row>
    <row r="422" ht="14.25" customHeight="1">
      <c r="A422" s="4">
        <v>187.0</v>
      </c>
      <c r="B422" s="5">
        <v>42377.49321759259</v>
      </c>
      <c r="C422" s="4">
        <v>16.0</v>
      </c>
      <c r="D422" s="4" t="str">
        <f>VLOOKUP(C422,inventory,3,true)</f>
        <v>snacks</v>
      </c>
    </row>
    <row r="423" ht="14.25" customHeight="1">
      <c r="A423" s="4">
        <v>187.0</v>
      </c>
      <c r="B423" s="5">
        <v>42377.49321759259</v>
      </c>
      <c r="C423" s="4">
        <v>23.0</v>
      </c>
      <c r="D423" s="4" t="str">
        <f>VLOOKUP(C423,inventory,3,true)</f>
        <v>dry_goods</v>
      </c>
    </row>
    <row r="424" ht="14.25" customHeight="1">
      <c r="A424" s="4">
        <v>187.0</v>
      </c>
      <c r="B424" s="5">
        <v>42377.49321759259</v>
      </c>
      <c r="C424" s="4">
        <v>4.0</v>
      </c>
      <c r="D424" s="4" t="str">
        <f>VLOOKUP(C424,inventory,3,true)</f>
        <v>produce</v>
      </c>
    </row>
    <row r="425" ht="14.25" customHeight="1">
      <c r="A425" s="4">
        <v>187.0</v>
      </c>
      <c r="B425" s="5">
        <v>42377.49321759259</v>
      </c>
      <c r="C425" s="4">
        <v>69.0</v>
      </c>
      <c r="D425" s="4" t="str">
        <f>VLOOKUP(C425,inventory,3,true)</f>
        <v>dry_goods</v>
      </c>
    </row>
    <row r="426" ht="14.25" customHeight="1">
      <c r="A426" s="4">
        <v>188.0</v>
      </c>
      <c r="B426" s="5">
        <v>42372.7499537037</v>
      </c>
      <c r="C426" s="4">
        <v>12.0</v>
      </c>
      <c r="D426" s="4" t="str">
        <f>VLOOKUP(C426,inventory,3,true)</f>
        <v>dairy</v>
      </c>
    </row>
    <row r="427" ht="14.25" customHeight="1">
      <c r="A427" s="4">
        <v>190.0</v>
      </c>
      <c r="B427" s="5">
        <v>42377.374976851854</v>
      </c>
      <c r="C427" s="4">
        <v>27.0</v>
      </c>
      <c r="D427" s="4" t="str">
        <f>VLOOKUP(C427,inventory,3,true)</f>
        <v>other</v>
      </c>
    </row>
    <row r="428" ht="14.25" customHeight="1">
      <c r="A428" s="4">
        <v>190.0</v>
      </c>
      <c r="B428" s="5">
        <v>42377.374976851854</v>
      </c>
      <c r="C428" s="4">
        <v>24.0</v>
      </c>
      <c r="D428" s="4" t="str">
        <f>VLOOKUP(C428,inventory,3,true)</f>
        <v>dry_goods</v>
      </c>
    </row>
    <row r="429" ht="14.25" customHeight="1">
      <c r="A429" s="4">
        <v>190.0</v>
      </c>
      <c r="B429" s="5">
        <v>42377.374976851854</v>
      </c>
      <c r="C429" s="4">
        <v>33.0</v>
      </c>
      <c r="D429" s="4" t="str">
        <f>VLOOKUP(C429,inventory,3,true)</f>
        <v>canned_jarred_goods</v>
      </c>
    </row>
    <row r="430" ht="14.25" customHeight="1">
      <c r="A430" s="4">
        <v>190.0</v>
      </c>
      <c r="B430" s="5">
        <v>42377.374976851854</v>
      </c>
      <c r="C430" s="4">
        <v>77.0</v>
      </c>
      <c r="D430" s="4" t="str">
        <f>VLOOKUP(C430,inventory,3,true)</f>
        <v>produce</v>
      </c>
    </row>
    <row r="431" ht="14.25" customHeight="1">
      <c r="A431" s="4">
        <v>190.0</v>
      </c>
      <c r="B431" s="5">
        <v>42377.374976851854</v>
      </c>
      <c r="C431" s="4">
        <v>40.0</v>
      </c>
      <c r="D431" s="4" t="str">
        <f>VLOOKUP(C431,inventory,3,true)</f>
        <v>frozen</v>
      </c>
    </row>
    <row r="432" ht="14.25" customHeight="1">
      <c r="A432" s="4">
        <v>191.0</v>
      </c>
      <c r="B432" s="5">
        <v>42377.45380787037</v>
      </c>
      <c r="C432" s="4">
        <v>78.0</v>
      </c>
      <c r="D432" s="4" t="str">
        <f>VLOOKUP(C432,inventory,3,true)</f>
        <v>dry_goods</v>
      </c>
    </row>
    <row r="433" ht="14.25" customHeight="1">
      <c r="A433" s="4">
        <v>191.0</v>
      </c>
      <c r="B433" s="5">
        <v>42377.45380787037</v>
      </c>
      <c r="C433" s="4">
        <v>32.0</v>
      </c>
      <c r="D433" s="4" t="str">
        <f>VLOOKUP(C433,inventory,3,true)</f>
        <v>produce</v>
      </c>
    </row>
    <row r="434" ht="14.25" customHeight="1">
      <c r="A434" s="4">
        <v>192.0</v>
      </c>
      <c r="B434" s="5">
        <v>42373.81197916667</v>
      </c>
      <c r="C434" s="4">
        <v>22.0</v>
      </c>
      <c r="D434" s="4" t="str">
        <f>VLOOKUP(C434,inventory,3,true)</f>
        <v>meat</v>
      </c>
    </row>
    <row r="435" ht="14.25" customHeight="1">
      <c r="A435" s="4">
        <v>192.0</v>
      </c>
      <c r="B435" s="5">
        <v>42373.81197916667</v>
      </c>
      <c r="C435" s="4">
        <v>73.0</v>
      </c>
      <c r="D435" s="4" t="str">
        <f>VLOOKUP(C435,inventory,3,true)</f>
        <v>snacks</v>
      </c>
    </row>
    <row r="436" ht="14.25" customHeight="1">
      <c r="A436" s="4">
        <v>193.0</v>
      </c>
      <c r="B436" s="5">
        <v>42375.47052083333</v>
      </c>
      <c r="C436" s="4">
        <v>62.0</v>
      </c>
      <c r="D436" s="4" t="str">
        <f>VLOOKUP(C436,inventory,3,true)</f>
        <v>dry_goods</v>
      </c>
    </row>
    <row r="437" ht="14.25" customHeight="1">
      <c r="A437" s="4">
        <v>193.0</v>
      </c>
      <c r="B437" s="5">
        <v>42375.47052083333</v>
      </c>
      <c r="C437" s="4">
        <v>61.0</v>
      </c>
      <c r="D437" s="4" t="str">
        <f>VLOOKUP(C437,inventory,3,true)</f>
        <v>produce</v>
      </c>
    </row>
    <row r="438" ht="14.25" customHeight="1">
      <c r="A438" s="4">
        <v>194.0</v>
      </c>
      <c r="B438" s="5">
        <v>42377.81114583334</v>
      </c>
      <c r="C438" s="4">
        <v>54.0</v>
      </c>
      <c r="D438" s="4" t="str">
        <f>VLOOKUP(C438,inventory,3,true)</f>
        <v>dairy</v>
      </c>
    </row>
    <row r="439" ht="14.25" customHeight="1">
      <c r="A439" s="4">
        <v>194.0</v>
      </c>
      <c r="B439" s="5">
        <v>42377.81114583334</v>
      </c>
      <c r="C439" s="4">
        <v>45.0</v>
      </c>
      <c r="D439" s="4" t="str">
        <f>VLOOKUP(C439,inventory,3,true)</f>
        <v>frozen</v>
      </c>
    </row>
    <row r="440" ht="14.25" customHeight="1">
      <c r="A440" s="4">
        <v>194.0</v>
      </c>
      <c r="B440" s="5">
        <v>42377.81114583334</v>
      </c>
      <c r="C440" s="4">
        <v>31.0</v>
      </c>
      <c r="D440" s="4" t="str">
        <f>VLOOKUP(C440,inventory,3,true)</f>
        <v>snacks</v>
      </c>
    </row>
    <row r="441" ht="14.25" customHeight="1">
      <c r="A441" s="4">
        <v>195.0</v>
      </c>
      <c r="B441" s="5">
        <v>42376.52449074074</v>
      </c>
      <c r="C441" s="4">
        <v>65.0</v>
      </c>
      <c r="D441" s="4" t="str">
        <f>VLOOKUP(C441,inventory,3,true)</f>
        <v>produce</v>
      </c>
    </row>
    <row r="442" ht="14.25" customHeight="1">
      <c r="A442" s="4">
        <v>195.0</v>
      </c>
      <c r="B442" s="5">
        <v>42376.52449074074</v>
      </c>
      <c r="C442" s="4">
        <v>32.0</v>
      </c>
      <c r="D442" s="4" t="str">
        <f>VLOOKUP(C442,inventory,3,true)</f>
        <v>produce</v>
      </c>
    </row>
    <row r="443" ht="14.25" customHeight="1">
      <c r="A443" s="4">
        <v>195.0</v>
      </c>
      <c r="B443" s="5">
        <v>42376.52449074074</v>
      </c>
      <c r="C443" s="4">
        <v>34.0</v>
      </c>
      <c r="D443" s="4" t="str">
        <f>VLOOKUP(C443,inventory,3,true)</f>
        <v>canned_jarred_goods</v>
      </c>
    </row>
    <row r="444" ht="14.25" customHeight="1">
      <c r="A444" s="4">
        <v>195.0</v>
      </c>
      <c r="B444" s="5">
        <v>42376.52449074074</v>
      </c>
      <c r="C444" s="4">
        <v>59.0</v>
      </c>
      <c r="D444" s="4" t="str">
        <f>VLOOKUP(C444,inventory,3,true)</f>
        <v>produce</v>
      </c>
    </row>
    <row r="445" ht="14.25" customHeight="1">
      <c r="A445" s="4">
        <v>196.0</v>
      </c>
      <c r="B445" s="5">
        <v>42377.693449074075</v>
      </c>
      <c r="C445" s="4">
        <v>66.0</v>
      </c>
      <c r="D445" s="4" t="str">
        <f>VLOOKUP(C445,inventory,3,true)</f>
        <v>produce</v>
      </c>
    </row>
    <row r="446" ht="14.25" customHeight="1">
      <c r="A446" s="4">
        <v>199.0</v>
      </c>
      <c r="B446" s="5">
        <v>42373.354212962964</v>
      </c>
      <c r="C446" s="4">
        <v>34.0</v>
      </c>
      <c r="D446" s="4" t="str">
        <f>VLOOKUP(C446,inventory,3,true)</f>
        <v>canned_jarred_goods</v>
      </c>
    </row>
    <row r="447" ht="14.25" customHeight="1">
      <c r="A447" s="4">
        <v>199.0</v>
      </c>
      <c r="B447" s="5">
        <v>42373.354212962964</v>
      </c>
      <c r="C447" s="4">
        <v>60.0</v>
      </c>
      <c r="D447" s="4" t="str">
        <f>VLOOKUP(C447,inventory,3,true)</f>
        <v>produce</v>
      </c>
    </row>
    <row r="448" ht="14.25" customHeight="1">
      <c r="A448" s="4">
        <v>200.0</v>
      </c>
      <c r="B448" s="5">
        <v>42377.76150462963</v>
      </c>
      <c r="C448" s="4">
        <v>46.0</v>
      </c>
      <c r="D448" s="4" t="str">
        <f>VLOOKUP(C448,inventory,3,true)</f>
        <v>frozen</v>
      </c>
    </row>
    <row r="449" ht="14.25" customHeight="1">
      <c r="A449" s="4">
        <v>201.0</v>
      </c>
      <c r="B449" s="5">
        <v>42372.34174768518</v>
      </c>
      <c r="C449" s="4">
        <v>9.0</v>
      </c>
      <c r="D449" s="4" t="str">
        <f>VLOOKUP(C449,inventory,3,true)</f>
        <v>produce</v>
      </c>
    </row>
    <row r="450" ht="14.25" customHeight="1">
      <c r="A450" s="4">
        <v>201.0</v>
      </c>
      <c r="B450" s="5">
        <v>42372.34174768518</v>
      </c>
      <c r="C450" s="4">
        <v>24.0</v>
      </c>
      <c r="D450" s="4" t="str">
        <f>VLOOKUP(C450,inventory,3,true)</f>
        <v>dry_goods</v>
      </c>
    </row>
    <row r="451" ht="14.25" customHeight="1">
      <c r="A451" s="4">
        <v>202.0</v>
      </c>
      <c r="B451" s="5">
        <v>42376.697847222225</v>
      </c>
      <c r="C451" s="4">
        <v>81.0</v>
      </c>
      <c r="D451" s="4" t="str">
        <f>VLOOKUP(C451,inventory,3,true)</f>
        <v>dry_goods</v>
      </c>
    </row>
    <row r="452" ht="14.25" customHeight="1">
      <c r="A452" s="4">
        <v>202.0</v>
      </c>
      <c r="B452" s="5">
        <v>42376.697847222225</v>
      </c>
      <c r="C452" s="4">
        <v>80.0</v>
      </c>
      <c r="D452" s="4" t="str">
        <f>VLOOKUP(C452,inventory,3,true)</f>
        <v>dry_goods</v>
      </c>
    </row>
    <row r="453" ht="14.25" customHeight="1">
      <c r="A453" s="4">
        <v>202.0</v>
      </c>
      <c r="B453" s="5">
        <v>42376.697847222225</v>
      </c>
      <c r="C453" s="4">
        <v>43.0</v>
      </c>
      <c r="D453" s="4" t="str">
        <f>VLOOKUP(C453,inventory,3,true)</f>
        <v>bread</v>
      </c>
    </row>
    <row r="454" ht="14.25" customHeight="1">
      <c r="A454" s="4">
        <v>203.0</v>
      </c>
      <c r="B454" s="5">
        <v>42377.4996875</v>
      </c>
      <c r="C454" s="4">
        <v>67.0</v>
      </c>
      <c r="D454" s="4" t="str">
        <f>VLOOKUP(C454,inventory,3,true)</f>
        <v>dry_goods</v>
      </c>
    </row>
    <row r="455" ht="14.25" customHeight="1">
      <c r="A455" s="4">
        <v>203.0</v>
      </c>
      <c r="B455" s="5">
        <v>42377.4996875</v>
      </c>
      <c r="C455" s="4">
        <v>60.0</v>
      </c>
      <c r="D455" s="4" t="str">
        <f>VLOOKUP(C455,inventory,3,true)</f>
        <v>produce</v>
      </c>
    </row>
    <row r="456" ht="14.25" customHeight="1">
      <c r="A456" s="4">
        <v>203.0</v>
      </c>
      <c r="B456" s="5">
        <v>42377.4996875</v>
      </c>
      <c r="C456" s="4">
        <v>14.0</v>
      </c>
      <c r="D456" s="4" t="str">
        <f>VLOOKUP(C456,inventory,3,true)</f>
        <v>snacks</v>
      </c>
    </row>
    <row r="457" ht="14.25" customHeight="1">
      <c r="A457" s="4">
        <v>204.0</v>
      </c>
      <c r="B457" s="5">
        <v>42377.47162037037</v>
      </c>
      <c r="C457" s="4">
        <v>27.0</v>
      </c>
      <c r="D457" s="4" t="str">
        <f>VLOOKUP(C457,inventory,3,true)</f>
        <v>other</v>
      </c>
    </row>
    <row r="458" ht="14.25" customHeight="1">
      <c r="A458" s="4">
        <v>204.0</v>
      </c>
      <c r="B458" s="5">
        <v>42377.47162037037</v>
      </c>
      <c r="C458" s="4">
        <v>41.0</v>
      </c>
      <c r="D458" s="4" t="str">
        <f>VLOOKUP(C458,inventory,3,true)</f>
        <v>frozen</v>
      </c>
    </row>
    <row r="459" ht="14.25" customHeight="1">
      <c r="A459" s="4">
        <v>204.0</v>
      </c>
      <c r="B459" s="5">
        <v>42377.47162037037</v>
      </c>
      <c r="C459" s="4">
        <v>22.0</v>
      </c>
      <c r="D459" s="4" t="str">
        <f>VLOOKUP(C459,inventory,3,true)</f>
        <v>meat</v>
      </c>
    </row>
    <row r="460" ht="14.25" customHeight="1">
      <c r="A460" s="4">
        <v>205.0</v>
      </c>
      <c r="B460" s="5">
        <v>42376.650347222225</v>
      </c>
      <c r="C460" s="4">
        <v>51.0</v>
      </c>
      <c r="D460" s="4" t="str">
        <f>VLOOKUP(C460,inventory,3,true)</f>
        <v>dairy</v>
      </c>
    </row>
    <row r="461" ht="14.25" customHeight="1">
      <c r="A461" s="4">
        <v>205.0</v>
      </c>
      <c r="B461" s="5">
        <v>42376.650347222225</v>
      </c>
      <c r="C461" s="4">
        <v>29.0</v>
      </c>
      <c r="D461" s="4" t="str">
        <f>VLOOKUP(C461,inventory,3,true)</f>
        <v>dairy</v>
      </c>
    </row>
    <row r="462" ht="14.25" customHeight="1">
      <c r="A462" s="4">
        <v>206.0</v>
      </c>
      <c r="B462" s="5">
        <v>42374.81517361111</v>
      </c>
      <c r="C462" s="4">
        <v>67.0</v>
      </c>
      <c r="D462" s="4" t="str">
        <f>VLOOKUP(C462,inventory,3,true)</f>
        <v>dry_goods</v>
      </c>
    </row>
    <row r="463" ht="14.25" customHeight="1">
      <c r="A463" s="4">
        <v>207.0</v>
      </c>
      <c r="B463" s="5">
        <v>42372.81387731482</v>
      </c>
      <c r="C463" s="4">
        <v>58.0</v>
      </c>
      <c r="D463" s="4" t="str">
        <f>VLOOKUP(C463,inventory,3,true)</f>
        <v>dry_goods</v>
      </c>
    </row>
    <row r="464" ht="14.25" customHeight="1">
      <c r="A464" s="4">
        <v>207.0</v>
      </c>
      <c r="B464" s="5">
        <v>42372.81387731482</v>
      </c>
      <c r="C464" s="4">
        <v>70.0</v>
      </c>
      <c r="D464" s="4" t="str">
        <f>VLOOKUP(C464,inventory,3,true)</f>
        <v>dry_goods</v>
      </c>
    </row>
    <row r="465" ht="14.25" customHeight="1">
      <c r="A465" s="4">
        <v>207.0</v>
      </c>
      <c r="B465" s="5">
        <v>42372.81387731482</v>
      </c>
      <c r="C465" s="4">
        <v>41.0</v>
      </c>
      <c r="D465" s="4" t="str">
        <f>VLOOKUP(C465,inventory,3,true)</f>
        <v>frozen</v>
      </c>
    </row>
    <row r="466" ht="14.25" customHeight="1">
      <c r="A466" s="4">
        <v>207.0</v>
      </c>
      <c r="B466" s="5">
        <v>42372.81387731482</v>
      </c>
      <c r="C466" s="4">
        <v>84.0</v>
      </c>
      <c r="D466" s="4" t="str">
        <f>VLOOKUP(C466,inventory,3,true)</f>
        <v>dry_goods</v>
      </c>
    </row>
    <row r="467" ht="14.25" customHeight="1">
      <c r="A467" s="4">
        <v>209.0</v>
      </c>
      <c r="B467" s="5">
        <v>42375.81480324074</v>
      </c>
      <c r="C467" s="4">
        <v>14.0</v>
      </c>
      <c r="D467" s="4" t="str">
        <f>VLOOKUP(C467,inventory,3,true)</f>
        <v>snacks</v>
      </c>
    </row>
    <row r="468" ht="14.25" customHeight="1">
      <c r="A468" s="4">
        <v>209.0</v>
      </c>
      <c r="B468" s="5">
        <v>42375.81480324074</v>
      </c>
      <c r="C468" s="4">
        <v>26.0</v>
      </c>
      <c r="D468" s="4" t="str">
        <f>VLOOKUP(C468,inventory,3,true)</f>
        <v>beverages</v>
      </c>
    </row>
    <row r="469" ht="14.25" customHeight="1">
      <c r="A469" s="4">
        <v>209.0</v>
      </c>
      <c r="B469" s="5">
        <v>42375.81480324074</v>
      </c>
      <c r="C469" s="4">
        <v>36.0</v>
      </c>
      <c r="D469" s="4" t="str">
        <f>VLOOKUP(C469,inventory,3,true)</f>
        <v>canned_jarred_goods</v>
      </c>
    </row>
    <row r="470" ht="14.25" customHeight="1">
      <c r="A470" s="4">
        <v>210.0</v>
      </c>
      <c r="B470" s="5">
        <v>42376.48037037037</v>
      </c>
      <c r="C470" s="4">
        <v>11.0</v>
      </c>
      <c r="D470" s="4" t="str">
        <f>VLOOKUP(C470,inventory,3,true)</f>
        <v>produce</v>
      </c>
    </row>
    <row r="471" ht="14.25" customHeight="1">
      <c r="A471" s="4">
        <v>210.0</v>
      </c>
      <c r="B471" s="5">
        <v>42376.48037037037</v>
      </c>
      <c r="C471" s="4">
        <v>83.0</v>
      </c>
      <c r="D471" s="4" t="str">
        <f>VLOOKUP(C471,inventory,3,true)</f>
        <v>snacks</v>
      </c>
    </row>
    <row r="472" ht="14.25" customHeight="1">
      <c r="A472" s="4">
        <v>210.0</v>
      </c>
      <c r="B472" s="5">
        <v>42376.48037037037</v>
      </c>
      <c r="C472" s="4">
        <v>82.0</v>
      </c>
      <c r="D472" s="4" t="str">
        <f>VLOOKUP(C472,inventory,3,true)</f>
        <v>dry_goods</v>
      </c>
    </row>
    <row r="473" ht="14.25" customHeight="1">
      <c r="A473" s="4">
        <v>211.0</v>
      </c>
      <c r="B473" s="5">
        <v>42374.58144675926</v>
      </c>
      <c r="C473" s="4">
        <v>45.0</v>
      </c>
      <c r="D473" s="4" t="str">
        <f>VLOOKUP(C473,inventory,3,true)</f>
        <v>frozen</v>
      </c>
    </row>
    <row r="474" ht="14.25" customHeight="1">
      <c r="A474" s="4">
        <v>211.0</v>
      </c>
      <c r="B474" s="5">
        <v>42374.58144675926</v>
      </c>
      <c r="C474" s="4">
        <v>68.0</v>
      </c>
      <c r="D474" s="4" t="str">
        <f>VLOOKUP(C474,inventory,3,true)</f>
        <v>produce</v>
      </c>
    </row>
    <row r="475" ht="14.25" customHeight="1">
      <c r="A475" s="4">
        <v>211.0</v>
      </c>
      <c r="B475" s="5">
        <v>42374.58144675926</v>
      </c>
      <c r="C475" s="4">
        <v>23.0</v>
      </c>
      <c r="D475" s="4" t="str">
        <f>VLOOKUP(C475,inventory,3,true)</f>
        <v>dry_goods</v>
      </c>
    </row>
    <row r="476" ht="14.25" customHeight="1">
      <c r="A476" s="4">
        <v>212.0</v>
      </c>
      <c r="B476" s="5">
        <v>42374.47603009259</v>
      </c>
      <c r="C476" s="4">
        <v>60.0</v>
      </c>
      <c r="D476" s="4" t="str">
        <f>VLOOKUP(C476,inventory,3,true)</f>
        <v>produce</v>
      </c>
    </row>
    <row r="477" ht="14.25" customHeight="1">
      <c r="A477" s="4">
        <v>213.0</v>
      </c>
      <c r="B477" s="5">
        <v>42373.33782407407</v>
      </c>
      <c r="C477" s="4">
        <v>70.0</v>
      </c>
      <c r="D477" s="4" t="str">
        <f>VLOOKUP(C477,inventory,3,true)</f>
        <v>dry_goods</v>
      </c>
    </row>
    <row r="478" ht="14.25" customHeight="1">
      <c r="A478" s="4">
        <v>213.0</v>
      </c>
      <c r="B478" s="5">
        <v>42373.33782407407</v>
      </c>
      <c r="C478" s="4">
        <v>4.0</v>
      </c>
      <c r="D478" s="4" t="str">
        <f>VLOOKUP(C478,inventory,3,true)</f>
        <v>produce</v>
      </c>
    </row>
    <row r="479" ht="14.25" customHeight="1">
      <c r="A479" s="4">
        <v>213.0</v>
      </c>
      <c r="B479" s="5">
        <v>42373.33782407407</v>
      </c>
      <c r="C479" s="4">
        <v>22.0</v>
      </c>
      <c r="D479" s="4" t="str">
        <f>VLOOKUP(C479,inventory,3,true)</f>
        <v>meat</v>
      </c>
    </row>
    <row r="480" ht="14.25" customHeight="1">
      <c r="A480" s="4">
        <v>214.0</v>
      </c>
      <c r="B480" s="5">
        <v>42372.64266203704</v>
      </c>
      <c r="C480" s="4">
        <v>13.0</v>
      </c>
      <c r="D480" s="4" t="str">
        <f>VLOOKUP(C480,inventory,3,true)</f>
        <v>beverages</v>
      </c>
    </row>
    <row r="481" ht="14.25" customHeight="1">
      <c r="A481" s="4">
        <v>214.0</v>
      </c>
      <c r="B481" s="5">
        <v>42372.64266203704</v>
      </c>
      <c r="C481" s="4">
        <v>40.0</v>
      </c>
      <c r="D481" s="4" t="str">
        <f>VLOOKUP(C481,inventory,3,true)</f>
        <v>frozen</v>
      </c>
    </row>
    <row r="482" ht="14.25" customHeight="1">
      <c r="A482" s="4">
        <v>214.0</v>
      </c>
      <c r="B482" s="5">
        <v>42372.64266203704</v>
      </c>
      <c r="C482" s="4">
        <v>60.0</v>
      </c>
      <c r="D482" s="4" t="str">
        <f>VLOOKUP(C482,inventory,3,true)</f>
        <v>produce</v>
      </c>
    </row>
    <row r="483" ht="14.25" customHeight="1">
      <c r="A483" s="4">
        <v>214.0</v>
      </c>
      <c r="B483" s="5">
        <v>42372.64266203704</v>
      </c>
      <c r="C483" s="4">
        <v>41.0</v>
      </c>
      <c r="D483" s="4" t="str">
        <f>VLOOKUP(C483,inventory,3,true)</f>
        <v>frozen</v>
      </c>
    </row>
    <row r="484" ht="14.25" customHeight="1">
      <c r="A484" s="4">
        <v>215.0</v>
      </c>
      <c r="B484" s="5">
        <v>42373.63324074074</v>
      </c>
      <c r="C484" s="4">
        <v>33.0</v>
      </c>
      <c r="D484" s="4" t="str">
        <f>VLOOKUP(C484,inventory,3,true)</f>
        <v>canned_jarred_goods</v>
      </c>
    </row>
    <row r="485" ht="14.25" customHeight="1">
      <c r="A485" s="4">
        <v>215.0</v>
      </c>
      <c r="B485" s="5">
        <v>42373.63324074074</v>
      </c>
      <c r="C485" s="4">
        <v>56.0</v>
      </c>
      <c r="D485" s="4" t="str">
        <f>VLOOKUP(C485,inventory,3,true)</f>
        <v>dry_goods</v>
      </c>
    </row>
    <row r="486" ht="14.25" customHeight="1">
      <c r="A486" s="4">
        <v>216.0</v>
      </c>
      <c r="B486" s="5">
        <v>42374.78648148148</v>
      </c>
      <c r="C486" s="4">
        <v>72.0</v>
      </c>
      <c r="D486" s="4" t="str">
        <f>VLOOKUP(C486,inventory,3,true)</f>
        <v>dry_goods</v>
      </c>
    </row>
    <row r="487" ht="14.25" customHeight="1">
      <c r="A487" s="4">
        <v>216.0</v>
      </c>
      <c r="B487" s="5">
        <v>42374.78648148148</v>
      </c>
      <c r="C487" s="4">
        <v>32.0</v>
      </c>
      <c r="D487" s="4" t="str">
        <f>VLOOKUP(C487,inventory,3,true)</f>
        <v>produce</v>
      </c>
    </row>
    <row r="488" ht="14.25" customHeight="1">
      <c r="A488" s="4">
        <v>216.0</v>
      </c>
      <c r="B488" s="5">
        <v>42374.78648148148</v>
      </c>
      <c r="C488" s="4">
        <v>27.0</v>
      </c>
      <c r="D488" s="4" t="str">
        <f>VLOOKUP(C488,inventory,3,true)</f>
        <v>other</v>
      </c>
    </row>
    <row r="489" ht="14.25" customHeight="1">
      <c r="A489" s="4">
        <v>216.0</v>
      </c>
      <c r="B489" s="5">
        <v>42374.78648148148</v>
      </c>
      <c r="C489" s="4">
        <v>40.0</v>
      </c>
      <c r="D489" s="4" t="str">
        <f>VLOOKUP(C489,inventory,3,true)</f>
        <v>frozen</v>
      </c>
    </row>
    <row r="490" ht="14.25" customHeight="1">
      <c r="A490" s="4">
        <v>216.0</v>
      </c>
      <c r="B490" s="5">
        <v>42374.78648148148</v>
      </c>
      <c r="C490" s="4">
        <v>36.0</v>
      </c>
      <c r="D490" s="4" t="str">
        <f>VLOOKUP(C490,inventory,3,true)</f>
        <v>canned_jarred_goods</v>
      </c>
    </row>
    <row r="491" ht="14.25" customHeight="1">
      <c r="A491" s="4">
        <v>217.0</v>
      </c>
      <c r="B491" s="5">
        <v>42373.57252314815</v>
      </c>
      <c r="C491" s="4">
        <v>12.0</v>
      </c>
      <c r="D491" s="4" t="str">
        <f>VLOOKUP(C491,inventory,3,true)</f>
        <v>dairy</v>
      </c>
    </row>
    <row r="492" ht="14.25" customHeight="1">
      <c r="A492" s="4">
        <v>217.0</v>
      </c>
      <c r="B492" s="5">
        <v>42373.57252314815</v>
      </c>
      <c r="C492" s="4">
        <v>52.0</v>
      </c>
      <c r="D492" s="4" t="str">
        <f>VLOOKUP(C492,inventory,3,true)</f>
        <v>dairy</v>
      </c>
    </row>
    <row r="493" ht="14.25" customHeight="1">
      <c r="A493" s="4">
        <v>217.0</v>
      </c>
      <c r="B493" s="5">
        <v>42373.57252314815</v>
      </c>
      <c r="C493" s="4">
        <v>52.0</v>
      </c>
      <c r="D493" s="4" t="str">
        <f>VLOOKUP(C493,inventory,3,true)</f>
        <v>dairy</v>
      </c>
    </row>
    <row r="494" ht="14.25" customHeight="1">
      <c r="A494" s="4">
        <v>218.0</v>
      </c>
      <c r="B494" s="5">
        <v>42377.807650462964</v>
      </c>
      <c r="C494" s="4">
        <v>33.0</v>
      </c>
      <c r="D494" s="4" t="str">
        <f>VLOOKUP(C494,inventory,3,true)</f>
        <v>canned_jarred_goods</v>
      </c>
    </row>
    <row r="495" ht="14.25" customHeight="1">
      <c r="A495" s="4">
        <v>218.0</v>
      </c>
      <c r="B495" s="5">
        <v>42377.807650462964</v>
      </c>
      <c r="C495" s="4">
        <v>45.0</v>
      </c>
      <c r="D495" s="4" t="str">
        <f>VLOOKUP(C495,inventory,3,true)</f>
        <v>frozen</v>
      </c>
    </row>
    <row r="496" ht="14.25" customHeight="1">
      <c r="A496" s="4">
        <v>220.0</v>
      </c>
      <c r="B496" s="5">
        <v>42372.66940972222</v>
      </c>
      <c r="C496" s="4">
        <v>14.0</v>
      </c>
      <c r="D496" s="4" t="str">
        <f>VLOOKUP(C496,inventory,3,true)</f>
        <v>snacks</v>
      </c>
    </row>
    <row r="497" ht="14.25" customHeight="1">
      <c r="A497" s="4">
        <v>220.0</v>
      </c>
      <c r="B497" s="5">
        <v>42372.66940972222</v>
      </c>
      <c r="C497" s="4">
        <v>2.0</v>
      </c>
      <c r="D497" s="4" t="str">
        <f>VLOOKUP(C497,inventory,3,true)</f>
        <v>produce</v>
      </c>
    </row>
    <row r="498" ht="14.25" customHeight="1">
      <c r="A498" s="4">
        <v>221.0</v>
      </c>
      <c r="B498" s="5">
        <v>42373.60407407407</v>
      </c>
      <c r="C498" s="4">
        <v>15.0</v>
      </c>
      <c r="D498" s="4" t="str">
        <f>VLOOKUP(C498,inventory,3,true)</f>
        <v>snacks</v>
      </c>
    </row>
    <row r="499" ht="14.25" customHeight="1">
      <c r="A499" s="4">
        <v>221.0</v>
      </c>
      <c r="B499" s="5">
        <v>42373.60407407407</v>
      </c>
      <c r="C499" s="4">
        <v>84.0</v>
      </c>
      <c r="D499" s="4" t="str">
        <f>VLOOKUP(C499,inventory,3,true)</f>
        <v>dry_goods</v>
      </c>
    </row>
    <row r="500" ht="14.25" customHeight="1">
      <c r="A500" s="4">
        <v>221.0</v>
      </c>
      <c r="B500" s="5">
        <v>42373.60407407407</v>
      </c>
      <c r="C500" s="4">
        <v>77.0</v>
      </c>
      <c r="D500" s="4" t="str">
        <f>VLOOKUP(C500,inventory,3,true)</f>
        <v>produce</v>
      </c>
    </row>
    <row r="501" ht="14.25" customHeight="1">
      <c r="A501" s="4">
        <v>222.0</v>
      </c>
      <c r="B501" s="5">
        <v>42372.55869212963</v>
      </c>
      <c r="C501" s="4">
        <v>41.0</v>
      </c>
      <c r="D501" s="4" t="str">
        <f>VLOOKUP(C501,inventory,3,true)</f>
        <v>frozen</v>
      </c>
    </row>
    <row r="502" ht="14.25" customHeight="1">
      <c r="A502" s="4">
        <v>224.0</v>
      </c>
      <c r="B502" s="5">
        <v>42375.74581018519</v>
      </c>
      <c r="C502" s="4">
        <v>8.0</v>
      </c>
      <c r="D502" s="4" t="str">
        <f>VLOOKUP(C502,inventory,3,true)</f>
        <v>produce</v>
      </c>
    </row>
    <row r="503" ht="14.25" customHeight="1">
      <c r="A503" s="4">
        <v>224.0</v>
      </c>
      <c r="B503" s="5">
        <v>42375.74581018519</v>
      </c>
      <c r="C503" s="4">
        <v>36.0</v>
      </c>
      <c r="D503" s="4" t="str">
        <f>VLOOKUP(C503,inventory,3,true)</f>
        <v>canned_jarred_goods</v>
      </c>
    </row>
    <row r="504" ht="14.25" customHeight="1">
      <c r="A504" s="4">
        <v>224.0</v>
      </c>
      <c r="B504" s="5">
        <v>42375.74581018519</v>
      </c>
      <c r="C504" s="4">
        <v>16.0</v>
      </c>
      <c r="D504" s="4" t="str">
        <f>VLOOKUP(C504,inventory,3,true)</f>
        <v>snacks</v>
      </c>
    </row>
    <row r="505" ht="14.25" customHeight="1">
      <c r="A505" s="4">
        <v>225.0</v>
      </c>
      <c r="B505" s="5">
        <v>42375.789143518516</v>
      </c>
      <c r="C505" s="4">
        <v>65.0</v>
      </c>
      <c r="D505" s="4" t="str">
        <f>VLOOKUP(C505,inventory,3,true)</f>
        <v>produce</v>
      </c>
    </row>
    <row r="506" ht="14.25" customHeight="1">
      <c r="A506" s="4">
        <v>226.0</v>
      </c>
      <c r="B506" s="5">
        <v>42376.72112268519</v>
      </c>
      <c r="C506" s="4">
        <v>32.0</v>
      </c>
      <c r="D506" s="4" t="str">
        <f>VLOOKUP(C506,inventory,3,true)</f>
        <v>produce</v>
      </c>
    </row>
    <row r="507" ht="14.25" customHeight="1">
      <c r="A507" s="4">
        <v>226.0</v>
      </c>
      <c r="B507" s="5">
        <v>42376.72112268519</v>
      </c>
      <c r="C507" s="4">
        <v>54.0</v>
      </c>
      <c r="D507" s="4" t="str">
        <f>VLOOKUP(C507,inventory,3,true)</f>
        <v>dairy</v>
      </c>
    </row>
    <row r="508" ht="14.25" customHeight="1">
      <c r="A508" s="4">
        <v>226.0</v>
      </c>
      <c r="B508" s="5">
        <v>42376.72112268519</v>
      </c>
      <c r="C508" s="4">
        <v>52.0</v>
      </c>
      <c r="D508" s="4" t="str">
        <f>VLOOKUP(C508,inventory,3,true)</f>
        <v>dairy</v>
      </c>
    </row>
    <row r="509" ht="14.25" customHeight="1">
      <c r="A509" s="4">
        <v>226.0</v>
      </c>
      <c r="B509" s="5">
        <v>42376.72112268519</v>
      </c>
      <c r="C509" s="4">
        <v>40.0</v>
      </c>
      <c r="D509" s="4" t="str">
        <f>VLOOKUP(C509,inventory,3,true)</f>
        <v>frozen</v>
      </c>
    </row>
    <row r="510" ht="14.25" customHeight="1">
      <c r="A510" s="4">
        <v>227.0</v>
      </c>
      <c r="B510" s="5">
        <v>42372.335173611114</v>
      </c>
      <c r="C510" s="4">
        <v>20.0</v>
      </c>
      <c r="D510" s="4" t="str">
        <f>VLOOKUP(C510,inventory,3,true)</f>
        <v>snacks</v>
      </c>
    </row>
    <row r="511" ht="14.25" customHeight="1">
      <c r="A511" s="4">
        <v>228.0</v>
      </c>
      <c r="B511" s="5">
        <v>42375.41173611111</v>
      </c>
      <c r="C511" s="4">
        <v>12.0</v>
      </c>
      <c r="D511" s="4" t="str">
        <f>VLOOKUP(C511,inventory,3,true)</f>
        <v>dairy</v>
      </c>
    </row>
    <row r="512" ht="14.25" customHeight="1">
      <c r="A512" s="4">
        <v>229.0</v>
      </c>
      <c r="B512" s="5">
        <v>42375.56675925926</v>
      </c>
      <c r="C512" s="4">
        <v>68.0</v>
      </c>
      <c r="D512" s="4" t="str">
        <f>VLOOKUP(C512,inventory,3,true)</f>
        <v>produce</v>
      </c>
    </row>
    <row r="513" ht="14.25" customHeight="1">
      <c r="A513" s="4">
        <v>229.0</v>
      </c>
      <c r="B513" s="5">
        <v>42375.56675925926</v>
      </c>
      <c r="C513" s="4">
        <v>19.0</v>
      </c>
      <c r="D513" s="4" t="str">
        <f>VLOOKUP(C513,inventory,3,true)</f>
        <v>snacks</v>
      </c>
    </row>
    <row r="514" ht="14.25" customHeight="1">
      <c r="A514" s="4">
        <v>229.0</v>
      </c>
      <c r="B514" s="5">
        <v>42375.56675925926</v>
      </c>
      <c r="C514" s="4">
        <v>26.0</v>
      </c>
      <c r="D514" s="4" t="str">
        <f>VLOOKUP(C514,inventory,3,true)</f>
        <v>beverages</v>
      </c>
    </row>
    <row r="515" ht="14.25" customHeight="1">
      <c r="A515" s="4">
        <v>229.0</v>
      </c>
      <c r="B515" s="5">
        <v>42375.56675925926</v>
      </c>
      <c r="C515" s="4">
        <v>70.0</v>
      </c>
      <c r="D515" s="4" t="str">
        <f>VLOOKUP(C515,inventory,3,true)</f>
        <v>dry_goods</v>
      </c>
    </row>
    <row r="516" ht="14.25" customHeight="1">
      <c r="A516" s="4">
        <v>229.0</v>
      </c>
      <c r="B516" s="5">
        <v>42375.56675925926</v>
      </c>
      <c r="C516" s="4">
        <v>16.0</v>
      </c>
      <c r="D516" s="4" t="str">
        <f>VLOOKUP(C516,inventory,3,true)</f>
        <v>snacks</v>
      </c>
    </row>
    <row r="517" ht="14.25" customHeight="1">
      <c r="A517" s="4">
        <v>229.0</v>
      </c>
      <c r="B517" s="5">
        <v>42375.56675925926</v>
      </c>
      <c r="C517" s="4">
        <v>79.0</v>
      </c>
      <c r="D517" s="4" t="str">
        <f>VLOOKUP(C517,inventory,3,true)</f>
        <v>dry_goods</v>
      </c>
    </row>
    <row r="518" ht="14.25" customHeight="1">
      <c r="A518" s="4">
        <v>229.0</v>
      </c>
      <c r="B518" s="5">
        <v>42375.56675925926</v>
      </c>
      <c r="C518" s="4">
        <v>15.0</v>
      </c>
      <c r="D518" s="4" t="str">
        <f>VLOOKUP(C518,inventory,3,true)</f>
        <v>snacks</v>
      </c>
    </row>
    <row r="519" ht="14.25" customHeight="1">
      <c r="A519" s="4">
        <v>231.0</v>
      </c>
      <c r="B519" s="5">
        <v>42376.69949074074</v>
      </c>
      <c r="C519" s="4">
        <v>38.0</v>
      </c>
      <c r="D519" s="4" t="str">
        <f>VLOOKUP(C519,inventory,3,true)</f>
        <v>frozen</v>
      </c>
    </row>
    <row r="520" ht="14.25" customHeight="1">
      <c r="A520" s="4">
        <v>231.0</v>
      </c>
      <c r="B520" s="5">
        <v>42376.69949074074</v>
      </c>
      <c r="C520" s="4">
        <v>61.0</v>
      </c>
      <c r="D520" s="4" t="str">
        <f>VLOOKUP(C520,inventory,3,true)</f>
        <v>produce</v>
      </c>
    </row>
    <row r="521" ht="14.25" customHeight="1">
      <c r="A521" s="4">
        <v>232.0</v>
      </c>
      <c r="B521" s="5">
        <v>42375.703993055555</v>
      </c>
      <c r="C521" s="4">
        <v>32.0</v>
      </c>
      <c r="D521" s="4" t="str">
        <f>VLOOKUP(C521,inventory,3,true)</f>
        <v>produce</v>
      </c>
    </row>
    <row r="522" ht="14.25" customHeight="1">
      <c r="A522" s="4">
        <v>232.0</v>
      </c>
      <c r="B522" s="5">
        <v>42375.703993055555</v>
      </c>
      <c r="C522" s="4">
        <v>8.0</v>
      </c>
      <c r="D522" s="4" t="str">
        <f>VLOOKUP(C522,inventory,3,true)</f>
        <v>produce</v>
      </c>
    </row>
    <row r="523" ht="14.25" customHeight="1">
      <c r="A523" s="4">
        <v>232.0</v>
      </c>
      <c r="B523" s="5">
        <v>42375.703993055555</v>
      </c>
      <c r="C523" s="4">
        <v>41.0</v>
      </c>
      <c r="D523" s="4" t="str">
        <f>VLOOKUP(C523,inventory,3,true)</f>
        <v>frozen</v>
      </c>
    </row>
    <row r="524" ht="14.25" customHeight="1">
      <c r="A524" s="4">
        <v>233.0</v>
      </c>
      <c r="B524" s="5">
        <v>42377.428136574075</v>
      </c>
      <c r="C524" s="4">
        <v>10.0</v>
      </c>
      <c r="D524" s="4" t="str">
        <f>VLOOKUP(C524,inventory,3,true)</f>
        <v>produce</v>
      </c>
    </row>
    <row r="525" ht="14.25" customHeight="1">
      <c r="A525" s="4">
        <v>233.0</v>
      </c>
      <c r="B525" s="5">
        <v>42377.428136574075</v>
      </c>
      <c r="C525" s="4">
        <v>28.0</v>
      </c>
      <c r="D525" s="4" t="str">
        <f>VLOOKUP(C525,inventory,3,true)</f>
        <v>dry_goods</v>
      </c>
    </row>
    <row r="526" ht="14.25" customHeight="1">
      <c r="A526" s="4">
        <v>235.0</v>
      </c>
      <c r="B526" s="5">
        <v>42374.506516203706</v>
      </c>
      <c r="C526" s="4">
        <v>32.0</v>
      </c>
      <c r="D526" s="4" t="str">
        <f>VLOOKUP(C526,inventory,3,true)</f>
        <v>produce</v>
      </c>
    </row>
    <row r="527" ht="14.25" customHeight="1">
      <c r="A527" s="4">
        <v>235.0</v>
      </c>
      <c r="B527" s="5">
        <v>42374.506516203706</v>
      </c>
      <c r="C527" s="4">
        <v>22.0</v>
      </c>
      <c r="D527" s="4" t="str">
        <f>VLOOKUP(C527,inventory,3,true)</f>
        <v>meat</v>
      </c>
    </row>
    <row r="528" ht="14.25" customHeight="1">
      <c r="A528" s="4">
        <v>235.0</v>
      </c>
      <c r="B528" s="5">
        <v>42374.506516203706</v>
      </c>
      <c r="C528" s="4">
        <v>41.0</v>
      </c>
      <c r="D528" s="4" t="str">
        <f>VLOOKUP(C528,inventory,3,true)</f>
        <v>frozen</v>
      </c>
    </row>
    <row r="529" ht="14.25" customHeight="1">
      <c r="A529" s="4">
        <v>235.0</v>
      </c>
      <c r="B529" s="5">
        <v>42374.506516203706</v>
      </c>
      <c r="C529" s="4">
        <v>21.0</v>
      </c>
      <c r="D529" s="4" t="str">
        <f>VLOOKUP(C529,inventory,3,true)</f>
        <v>snacks</v>
      </c>
    </row>
    <row r="530" ht="14.25" customHeight="1">
      <c r="A530" s="4">
        <v>236.0</v>
      </c>
      <c r="B530" s="5">
        <v>42373.657905092594</v>
      </c>
      <c r="C530" s="4">
        <v>78.0</v>
      </c>
      <c r="D530" s="4" t="str">
        <f>VLOOKUP(C530,inventory,3,true)</f>
        <v>dry_goods</v>
      </c>
    </row>
    <row r="531" ht="14.25" customHeight="1">
      <c r="A531" s="4">
        <v>236.0</v>
      </c>
      <c r="B531" s="5">
        <v>42373.657905092594</v>
      </c>
      <c r="C531" s="4">
        <v>55.0</v>
      </c>
      <c r="D531" s="4" t="str">
        <f>VLOOKUP(C531,inventory,3,true)</f>
        <v>dairy</v>
      </c>
    </row>
    <row r="532" ht="14.25" customHeight="1">
      <c r="A532" s="4">
        <v>236.0</v>
      </c>
      <c r="B532" s="5">
        <v>42373.657905092594</v>
      </c>
      <c r="C532" s="4">
        <v>11.0</v>
      </c>
      <c r="D532" s="4" t="str">
        <f>VLOOKUP(C532,inventory,3,true)</f>
        <v>produce</v>
      </c>
    </row>
    <row r="533" ht="14.25" customHeight="1">
      <c r="A533" s="4">
        <v>236.0</v>
      </c>
      <c r="B533" s="5">
        <v>42373.657905092594</v>
      </c>
      <c r="C533" s="4">
        <v>32.0</v>
      </c>
      <c r="D533" s="4" t="str">
        <f>VLOOKUP(C533,inventory,3,true)</f>
        <v>produce</v>
      </c>
    </row>
    <row r="534" ht="14.25" customHeight="1">
      <c r="A534" s="4">
        <v>237.0</v>
      </c>
      <c r="B534" s="5">
        <v>42373.83299768518</v>
      </c>
      <c r="C534" s="4">
        <v>47.0</v>
      </c>
      <c r="D534" s="4" t="str">
        <f>VLOOKUP(C534,inventory,3,true)</f>
        <v>dairy</v>
      </c>
    </row>
    <row r="535" ht="14.25" customHeight="1">
      <c r="A535" s="4">
        <v>237.0</v>
      </c>
      <c r="B535" s="5">
        <v>42373.83299768518</v>
      </c>
      <c r="C535" s="4">
        <v>20.0</v>
      </c>
      <c r="D535" s="4" t="str">
        <f>VLOOKUP(C535,inventory,3,true)</f>
        <v>snacks</v>
      </c>
    </row>
    <row r="536" ht="14.25" customHeight="1">
      <c r="A536" s="4">
        <v>238.0</v>
      </c>
      <c r="B536" s="5">
        <v>42376.388761574075</v>
      </c>
      <c r="C536" s="4">
        <v>66.0</v>
      </c>
      <c r="D536" s="4" t="str">
        <f>VLOOKUP(C536,inventory,3,true)</f>
        <v>produce</v>
      </c>
    </row>
    <row r="537" ht="14.25" customHeight="1">
      <c r="A537" s="4">
        <v>238.0</v>
      </c>
      <c r="B537" s="5">
        <v>42376.388761574075</v>
      </c>
      <c r="C537" s="4">
        <v>40.0</v>
      </c>
      <c r="D537" s="4" t="str">
        <f>VLOOKUP(C537,inventory,3,true)</f>
        <v>frozen</v>
      </c>
    </row>
    <row r="538" ht="14.25" customHeight="1">
      <c r="A538" s="4">
        <v>239.0</v>
      </c>
      <c r="B538" s="5">
        <v>42374.54752314815</v>
      </c>
      <c r="C538" s="4">
        <v>36.0</v>
      </c>
      <c r="D538" s="4" t="str">
        <f>VLOOKUP(C538,inventory,3,true)</f>
        <v>canned_jarred_goods</v>
      </c>
    </row>
    <row r="539" ht="14.25" customHeight="1">
      <c r="A539" s="4">
        <v>239.0</v>
      </c>
      <c r="B539" s="5">
        <v>42374.54752314815</v>
      </c>
      <c r="C539" s="4">
        <v>9.0</v>
      </c>
      <c r="D539" s="4" t="str">
        <f>VLOOKUP(C539,inventory,3,true)</f>
        <v>produce</v>
      </c>
    </row>
    <row r="540" ht="14.25" customHeight="1">
      <c r="A540" s="4">
        <v>239.0</v>
      </c>
      <c r="B540" s="5">
        <v>42374.54752314815</v>
      </c>
      <c r="C540" s="4">
        <v>66.0</v>
      </c>
      <c r="D540" s="4" t="str">
        <f>VLOOKUP(C540,inventory,3,true)</f>
        <v>produce</v>
      </c>
    </row>
    <row r="541" ht="14.25" customHeight="1">
      <c r="A541" s="4">
        <v>239.0</v>
      </c>
      <c r="B541" s="5">
        <v>42374.54752314815</v>
      </c>
      <c r="C541" s="4">
        <v>17.0</v>
      </c>
      <c r="D541" s="4" t="str">
        <f>VLOOKUP(C541,inventory,3,true)</f>
        <v>other</v>
      </c>
    </row>
    <row r="542" ht="14.25" customHeight="1">
      <c r="A542" s="4">
        <v>240.0</v>
      </c>
      <c r="B542" s="5">
        <v>42372.763657407406</v>
      </c>
      <c r="C542" s="4">
        <v>42.0</v>
      </c>
      <c r="D542" s="4" t="str">
        <f>VLOOKUP(C542,inventory,3,true)</f>
        <v>produce</v>
      </c>
    </row>
    <row r="543" ht="14.25" customHeight="1">
      <c r="A543" s="4">
        <v>240.0</v>
      </c>
      <c r="B543" s="5">
        <v>42372.763657407406</v>
      </c>
      <c r="C543" s="4">
        <v>17.0</v>
      </c>
      <c r="D543" s="4" t="str">
        <f>VLOOKUP(C543,inventory,3,true)</f>
        <v>other</v>
      </c>
    </row>
    <row r="544" ht="14.25" customHeight="1">
      <c r="A544" s="4">
        <v>240.0</v>
      </c>
      <c r="B544" s="5">
        <v>42372.763657407406</v>
      </c>
      <c r="C544" s="4">
        <v>52.0</v>
      </c>
      <c r="D544" s="4" t="str">
        <f>VLOOKUP(C544,inventory,3,true)</f>
        <v>dairy</v>
      </c>
    </row>
    <row r="545" ht="14.25" customHeight="1">
      <c r="A545" s="4">
        <v>240.0</v>
      </c>
      <c r="B545" s="5">
        <v>42372.763657407406</v>
      </c>
      <c r="C545" s="4">
        <v>59.0</v>
      </c>
      <c r="D545" s="4" t="str">
        <f>VLOOKUP(C545,inventory,3,true)</f>
        <v>produce</v>
      </c>
    </row>
    <row r="546" ht="14.25" customHeight="1">
      <c r="A546" s="4">
        <v>240.0</v>
      </c>
      <c r="B546" s="5">
        <v>42372.763657407406</v>
      </c>
      <c r="C546" s="4">
        <v>66.0</v>
      </c>
      <c r="D546" s="4" t="str">
        <f>VLOOKUP(C546,inventory,3,true)</f>
        <v>produce</v>
      </c>
    </row>
    <row r="547" ht="14.25" customHeight="1">
      <c r="A547" s="4">
        <v>242.0</v>
      </c>
      <c r="B547" s="5">
        <v>42373.48049768519</v>
      </c>
      <c r="C547" s="4">
        <v>82.0</v>
      </c>
      <c r="D547" s="4" t="str">
        <f>VLOOKUP(C547,inventory,3,true)</f>
        <v>dry_goods</v>
      </c>
    </row>
    <row r="548" ht="14.25" customHeight="1">
      <c r="A548" s="4">
        <v>242.0</v>
      </c>
      <c r="B548" s="5">
        <v>42373.48049768519</v>
      </c>
      <c r="C548" s="4">
        <v>1.0</v>
      </c>
      <c r="D548" s="4" t="str">
        <f>VLOOKUP(C548,inventory,3,true)</f>
        <v>produce</v>
      </c>
    </row>
    <row r="549" ht="14.25" customHeight="1">
      <c r="A549" s="4">
        <v>243.0</v>
      </c>
      <c r="B549" s="5">
        <v>42372.376539351855</v>
      </c>
      <c r="C549" s="4">
        <v>12.0</v>
      </c>
      <c r="D549" s="4" t="str">
        <f>VLOOKUP(C549,inventory,3,true)</f>
        <v>dairy</v>
      </c>
    </row>
    <row r="550" ht="14.25" customHeight="1">
      <c r="A550" s="4">
        <v>243.0</v>
      </c>
      <c r="B550" s="5">
        <v>42372.376539351855</v>
      </c>
      <c r="C550" s="4">
        <v>79.0</v>
      </c>
      <c r="D550" s="4" t="str">
        <f>VLOOKUP(C550,inventory,3,true)</f>
        <v>dry_goods</v>
      </c>
    </row>
    <row r="551" ht="14.25" customHeight="1">
      <c r="A551" s="4">
        <v>243.0</v>
      </c>
      <c r="B551" s="5">
        <v>42372.376539351855</v>
      </c>
      <c r="C551" s="4">
        <v>1.0</v>
      </c>
      <c r="D551" s="4" t="str">
        <f>VLOOKUP(C551,inventory,3,true)</f>
        <v>produce</v>
      </c>
    </row>
    <row r="552" ht="14.25" customHeight="1">
      <c r="A552" s="4">
        <v>243.0</v>
      </c>
      <c r="B552" s="5">
        <v>42372.376539351855</v>
      </c>
      <c r="C552" s="4">
        <v>11.0</v>
      </c>
      <c r="D552" s="4" t="str">
        <f>VLOOKUP(C552,inventory,3,true)</f>
        <v>produce</v>
      </c>
    </row>
    <row r="553" ht="14.25" customHeight="1">
      <c r="A553" s="4">
        <v>244.0</v>
      </c>
      <c r="B553" s="5">
        <v>42376.72332175926</v>
      </c>
      <c r="C553" s="4">
        <v>70.0</v>
      </c>
      <c r="D553" s="4" t="str">
        <f>VLOOKUP(C553,inventory,3,true)</f>
        <v>dry_goods</v>
      </c>
    </row>
    <row r="554" ht="14.25" customHeight="1">
      <c r="A554" s="4">
        <v>244.0</v>
      </c>
      <c r="B554" s="5">
        <v>42376.72332175926</v>
      </c>
      <c r="C554" s="4">
        <v>43.0</v>
      </c>
      <c r="D554" s="4" t="str">
        <f>VLOOKUP(C554,inventory,3,true)</f>
        <v>bread</v>
      </c>
    </row>
    <row r="555" ht="14.25" customHeight="1">
      <c r="A555" s="4">
        <v>245.0</v>
      </c>
      <c r="B555" s="5">
        <v>42375.37189814815</v>
      </c>
      <c r="C555" s="4">
        <v>26.0</v>
      </c>
      <c r="D555" s="4" t="str">
        <f>VLOOKUP(C555,inventory,3,true)</f>
        <v>beverages</v>
      </c>
    </row>
    <row r="556" ht="14.25" customHeight="1">
      <c r="A556" s="4">
        <v>245.0</v>
      </c>
      <c r="B556" s="5">
        <v>42375.37189814815</v>
      </c>
      <c r="C556" s="4">
        <v>72.0</v>
      </c>
      <c r="D556" s="4" t="str">
        <f>VLOOKUP(C556,inventory,3,true)</f>
        <v>dry_goods</v>
      </c>
    </row>
    <row r="557" ht="14.25" customHeight="1">
      <c r="A557" s="4">
        <v>245.0</v>
      </c>
      <c r="B557" s="5">
        <v>42375.37189814815</v>
      </c>
      <c r="C557" s="4">
        <v>78.0</v>
      </c>
      <c r="D557" s="4" t="str">
        <f>VLOOKUP(C557,inventory,3,true)</f>
        <v>dry_goods</v>
      </c>
    </row>
    <row r="558" ht="14.25" customHeight="1">
      <c r="A558" s="4">
        <v>245.0</v>
      </c>
      <c r="B558" s="5">
        <v>42375.37189814815</v>
      </c>
      <c r="C558" s="4">
        <v>16.0</v>
      </c>
      <c r="D558" s="4" t="str">
        <f>VLOOKUP(C558,inventory,3,true)</f>
        <v>snacks</v>
      </c>
    </row>
    <row r="559" ht="14.25" customHeight="1">
      <c r="A559" s="4">
        <v>245.0</v>
      </c>
      <c r="B559" s="5">
        <v>42375.37189814815</v>
      </c>
      <c r="C559" s="4">
        <v>9.0</v>
      </c>
      <c r="D559" s="4" t="str">
        <f>VLOOKUP(C559,inventory,3,true)</f>
        <v>produce</v>
      </c>
    </row>
    <row r="560" ht="14.25" customHeight="1">
      <c r="A560" s="4">
        <v>245.0</v>
      </c>
      <c r="B560" s="5">
        <v>42375.37189814815</v>
      </c>
      <c r="C560" s="4">
        <v>83.0</v>
      </c>
      <c r="D560" s="4" t="str">
        <f>VLOOKUP(C560,inventory,3,true)</f>
        <v>snacks</v>
      </c>
    </row>
    <row r="561" ht="14.25" customHeight="1">
      <c r="A561" s="4">
        <v>246.0</v>
      </c>
      <c r="B561" s="5">
        <v>42376.799409722225</v>
      </c>
      <c r="C561" s="4">
        <v>8.0</v>
      </c>
      <c r="D561" s="4" t="str">
        <f>VLOOKUP(C561,inventory,3,true)</f>
        <v>produce</v>
      </c>
    </row>
    <row r="562" ht="14.25" customHeight="1">
      <c r="A562" s="4">
        <v>246.0</v>
      </c>
      <c r="B562" s="5">
        <v>42376.799409722225</v>
      </c>
      <c r="C562" s="4">
        <v>43.0</v>
      </c>
      <c r="D562" s="4" t="str">
        <f>VLOOKUP(C562,inventory,3,true)</f>
        <v>bread</v>
      </c>
    </row>
    <row r="563" ht="14.25" customHeight="1">
      <c r="A563" s="4">
        <v>247.0</v>
      </c>
      <c r="B563" s="5">
        <v>42376.60418981482</v>
      </c>
      <c r="C563" s="4">
        <v>55.0</v>
      </c>
      <c r="D563" s="4" t="str">
        <f>VLOOKUP(C563,inventory,3,true)</f>
        <v>dairy</v>
      </c>
    </row>
    <row r="564" ht="14.25" customHeight="1">
      <c r="A564" s="4">
        <v>247.0</v>
      </c>
      <c r="B564" s="5">
        <v>42376.60418981482</v>
      </c>
      <c r="C564" s="4">
        <v>46.0</v>
      </c>
      <c r="D564" s="4" t="str">
        <f>VLOOKUP(C564,inventory,3,true)</f>
        <v>frozen</v>
      </c>
    </row>
    <row r="565" ht="14.25" customHeight="1">
      <c r="A565" s="4">
        <v>249.0</v>
      </c>
      <c r="B565" s="5">
        <v>42375.59905092593</v>
      </c>
      <c r="C565" s="4">
        <v>80.0</v>
      </c>
      <c r="D565" s="4" t="str">
        <f>VLOOKUP(C565,inventory,3,true)</f>
        <v>dry_goods</v>
      </c>
    </row>
    <row r="566" ht="14.25" customHeight="1">
      <c r="A566" s="4">
        <v>249.0</v>
      </c>
      <c r="B566" s="5">
        <v>42375.59905092593</v>
      </c>
      <c r="C566" s="4">
        <v>53.0</v>
      </c>
      <c r="D566" s="4" t="str">
        <f>VLOOKUP(C566,inventory,3,true)</f>
        <v>dairy</v>
      </c>
    </row>
    <row r="567" ht="14.25" customHeight="1">
      <c r="A567" s="4">
        <v>249.0</v>
      </c>
      <c r="B567" s="5">
        <v>42375.59905092593</v>
      </c>
      <c r="C567" s="4">
        <v>45.0</v>
      </c>
      <c r="D567" s="4" t="str">
        <f>VLOOKUP(C567,inventory,3,true)</f>
        <v>frozen</v>
      </c>
    </row>
    <row r="568" ht="14.25" customHeight="1">
      <c r="A568" s="4">
        <v>249.0</v>
      </c>
      <c r="B568" s="5">
        <v>42375.59905092593</v>
      </c>
      <c r="C568" s="4">
        <v>23.0</v>
      </c>
      <c r="D568" s="4" t="str">
        <f>VLOOKUP(C568,inventory,3,true)</f>
        <v>dry_goods</v>
      </c>
    </row>
    <row r="569" ht="14.25" customHeight="1">
      <c r="A569" s="4">
        <v>250.0</v>
      </c>
      <c r="B569" s="5">
        <v>42374.62993055556</v>
      </c>
      <c r="C569" s="4">
        <v>52.0</v>
      </c>
      <c r="D569" s="4" t="str">
        <f>VLOOKUP(C569,inventory,3,true)</f>
        <v>dairy</v>
      </c>
    </row>
    <row r="570" ht="14.25" customHeight="1">
      <c r="A570" s="4">
        <v>250.0</v>
      </c>
      <c r="B570" s="5">
        <v>42374.62993055556</v>
      </c>
      <c r="C570" s="4">
        <v>57.0</v>
      </c>
      <c r="D570" s="4" t="str">
        <f>VLOOKUP(C570,inventory,3,true)</f>
        <v>produce</v>
      </c>
    </row>
    <row r="571" ht="14.25" customHeight="1">
      <c r="A571" s="4">
        <v>251.0</v>
      </c>
      <c r="B571" s="5">
        <v>42373.334328703706</v>
      </c>
      <c r="C571" s="4">
        <v>7.0</v>
      </c>
      <c r="D571" s="4" t="str">
        <f>VLOOKUP(C571,inventory,3,true)</f>
        <v>produce</v>
      </c>
    </row>
    <row r="572" ht="14.25" customHeight="1">
      <c r="A572" s="4">
        <v>251.0</v>
      </c>
      <c r="B572" s="5">
        <v>42373.334328703706</v>
      </c>
      <c r="C572" s="4">
        <v>17.0</v>
      </c>
      <c r="D572" s="4" t="str">
        <f>VLOOKUP(C572,inventory,3,true)</f>
        <v>other</v>
      </c>
    </row>
    <row r="573" ht="14.25" customHeight="1">
      <c r="A573" s="4">
        <v>252.0</v>
      </c>
      <c r="B573" s="5">
        <v>42373.42537037037</v>
      </c>
      <c r="C573" s="4">
        <v>64.0</v>
      </c>
      <c r="D573" s="4" t="str">
        <f>VLOOKUP(C573,inventory,3,true)</f>
        <v>produce</v>
      </c>
    </row>
    <row r="574" ht="14.25" customHeight="1">
      <c r="A574" s="4">
        <v>252.0</v>
      </c>
      <c r="B574" s="5">
        <v>42373.42537037037</v>
      </c>
      <c r="C574" s="4">
        <v>80.0</v>
      </c>
      <c r="D574" s="4" t="str">
        <f>VLOOKUP(C574,inventory,3,true)</f>
        <v>dry_goods</v>
      </c>
    </row>
    <row r="575" ht="14.25" customHeight="1">
      <c r="A575" s="4">
        <v>253.0</v>
      </c>
      <c r="B575" s="5">
        <v>42375.593981481485</v>
      </c>
      <c r="C575" s="4">
        <v>41.0</v>
      </c>
      <c r="D575" s="4" t="str">
        <f>VLOOKUP(C575,inventory,3,true)</f>
        <v>frozen</v>
      </c>
    </row>
    <row r="576" ht="14.25" customHeight="1">
      <c r="A576" s="4">
        <v>253.0</v>
      </c>
      <c r="B576" s="5">
        <v>42375.593981481485</v>
      </c>
      <c r="C576" s="4">
        <v>74.0</v>
      </c>
      <c r="D576" s="4" t="str">
        <f>VLOOKUP(C576,inventory,3,true)</f>
        <v>snacks</v>
      </c>
    </row>
    <row r="577" ht="14.25" customHeight="1">
      <c r="A577" s="4">
        <v>253.0</v>
      </c>
      <c r="B577" s="5">
        <v>42375.593981481485</v>
      </c>
      <c r="C577" s="4">
        <v>7.0</v>
      </c>
      <c r="D577" s="4" t="str">
        <f>VLOOKUP(C577,inventory,3,true)</f>
        <v>produce</v>
      </c>
    </row>
    <row r="578" ht="14.25" customHeight="1">
      <c r="A578" s="4">
        <v>254.0</v>
      </c>
      <c r="B578" s="5">
        <v>42373.58054398148</v>
      </c>
      <c r="C578" s="4">
        <v>72.0</v>
      </c>
      <c r="D578" s="4" t="str">
        <f>VLOOKUP(C578,inventory,3,true)</f>
        <v>dry_goods</v>
      </c>
    </row>
    <row r="579" ht="14.25" customHeight="1">
      <c r="A579" s="4">
        <v>254.0</v>
      </c>
      <c r="B579" s="5">
        <v>42373.58054398148</v>
      </c>
      <c r="C579" s="4">
        <v>3.0</v>
      </c>
      <c r="D579" s="4" t="str">
        <f>VLOOKUP(C579,inventory,3,true)</f>
        <v>produce</v>
      </c>
    </row>
    <row r="580" ht="14.25" customHeight="1">
      <c r="A580" s="4">
        <v>254.0</v>
      </c>
      <c r="B580" s="5">
        <v>42373.58054398148</v>
      </c>
      <c r="C580" s="4">
        <v>77.0</v>
      </c>
      <c r="D580" s="4" t="str">
        <f>VLOOKUP(C580,inventory,3,true)</f>
        <v>produce</v>
      </c>
    </row>
    <row r="581" ht="14.25" customHeight="1">
      <c r="A581" s="4">
        <v>254.0</v>
      </c>
      <c r="B581" s="5">
        <v>42373.58054398148</v>
      </c>
      <c r="C581" s="4">
        <v>60.0</v>
      </c>
      <c r="D581" s="4" t="str">
        <f>VLOOKUP(C581,inventory,3,true)</f>
        <v>produce</v>
      </c>
    </row>
    <row r="582" ht="14.25" customHeight="1">
      <c r="A582" s="4">
        <v>255.0</v>
      </c>
      <c r="B582" s="5">
        <v>42377.752905092595</v>
      </c>
      <c r="C582" s="4">
        <v>26.0</v>
      </c>
      <c r="D582" s="4" t="str">
        <f>VLOOKUP(C582,inventory,3,true)</f>
        <v>beverages</v>
      </c>
    </row>
    <row r="583" ht="14.25" customHeight="1">
      <c r="A583" s="4">
        <v>256.0</v>
      </c>
      <c r="B583" s="5">
        <v>42372.59491898148</v>
      </c>
      <c r="C583" s="4">
        <v>54.0</v>
      </c>
      <c r="D583" s="4" t="str">
        <f>VLOOKUP(C583,inventory,3,true)</f>
        <v>dairy</v>
      </c>
    </row>
    <row r="584" ht="14.25" customHeight="1">
      <c r="A584" s="4">
        <v>256.0</v>
      </c>
      <c r="B584" s="5">
        <v>42372.59491898148</v>
      </c>
      <c r="C584" s="4">
        <v>84.0</v>
      </c>
      <c r="D584" s="4" t="str">
        <f>VLOOKUP(C584,inventory,3,true)</f>
        <v>dry_goods</v>
      </c>
    </row>
    <row r="585" ht="14.25" customHeight="1">
      <c r="A585" s="4">
        <v>258.0</v>
      </c>
      <c r="B585" s="5">
        <v>42373.64232638889</v>
      </c>
      <c r="C585" s="4">
        <v>39.0</v>
      </c>
      <c r="D585" s="4" t="str">
        <f>VLOOKUP(C585,inventory,3,true)</f>
        <v>snacks</v>
      </c>
    </row>
    <row r="586" ht="14.25" customHeight="1">
      <c r="A586" s="4">
        <v>258.0</v>
      </c>
      <c r="B586" s="5">
        <v>42373.64232638889</v>
      </c>
      <c r="C586" s="4">
        <v>26.0</v>
      </c>
      <c r="D586" s="4" t="str">
        <f>VLOOKUP(C586,inventory,3,true)</f>
        <v>beverages</v>
      </c>
    </row>
    <row r="587" ht="14.25" customHeight="1">
      <c r="A587" s="4">
        <v>258.0</v>
      </c>
      <c r="B587" s="5">
        <v>42373.64232638889</v>
      </c>
      <c r="C587" s="4">
        <v>65.0</v>
      </c>
      <c r="D587" s="4" t="str">
        <f>VLOOKUP(C587,inventory,3,true)</f>
        <v>produce</v>
      </c>
    </row>
    <row r="588" ht="14.25" customHeight="1">
      <c r="A588" s="4">
        <v>258.0</v>
      </c>
      <c r="B588" s="5">
        <v>42373.64232638889</v>
      </c>
      <c r="C588" s="4">
        <v>2.0</v>
      </c>
      <c r="D588" s="4" t="str">
        <f>VLOOKUP(C588,inventory,3,true)</f>
        <v>produce</v>
      </c>
    </row>
    <row r="589" ht="14.25" customHeight="1">
      <c r="A589" s="4">
        <v>258.0</v>
      </c>
      <c r="B589" s="5">
        <v>42373.64232638889</v>
      </c>
      <c r="C589" s="4">
        <v>39.0</v>
      </c>
      <c r="D589" s="4" t="str">
        <f>VLOOKUP(C589,inventory,3,true)</f>
        <v>snacks</v>
      </c>
    </row>
    <row r="590" ht="14.25" customHeight="1">
      <c r="A590" s="4">
        <v>259.0</v>
      </c>
      <c r="B590" s="5">
        <v>42377.756585648145</v>
      </c>
      <c r="C590" s="4">
        <v>64.0</v>
      </c>
      <c r="D590" s="4" t="str">
        <f>VLOOKUP(C590,inventory,3,true)</f>
        <v>produce</v>
      </c>
    </row>
    <row r="591" ht="14.25" customHeight="1">
      <c r="A591" s="4">
        <v>259.0</v>
      </c>
      <c r="B591" s="5">
        <v>42377.756585648145</v>
      </c>
      <c r="C591" s="4">
        <v>12.0</v>
      </c>
      <c r="D591" s="4" t="str">
        <f>VLOOKUP(C591,inventory,3,true)</f>
        <v>dairy</v>
      </c>
    </row>
    <row r="592" ht="14.25" customHeight="1">
      <c r="A592" s="4">
        <v>259.0</v>
      </c>
      <c r="B592" s="5">
        <v>42377.756585648145</v>
      </c>
      <c r="C592" s="4">
        <v>64.0</v>
      </c>
      <c r="D592" s="4" t="str">
        <f>VLOOKUP(C592,inventory,3,true)</f>
        <v>produce</v>
      </c>
    </row>
    <row r="593" ht="14.25" customHeight="1">
      <c r="A593" s="4">
        <v>259.0</v>
      </c>
      <c r="B593" s="5">
        <v>42377.756585648145</v>
      </c>
      <c r="C593" s="4">
        <v>30.0</v>
      </c>
      <c r="D593" s="4" t="str">
        <f>VLOOKUP(C593,inventory,3,true)</f>
        <v>dairy</v>
      </c>
    </row>
    <row r="594" ht="14.25" customHeight="1">
      <c r="A594" s="4">
        <v>260.0</v>
      </c>
      <c r="B594" s="5">
        <v>42377.49827546296</v>
      </c>
      <c r="C594" s="4">
        <v>84.0</v>
      </c>
      <c r="D594" s="4" t="str">
        <f>VLOOKUP(C594,inventory,3,true)</f>
        <v>dry_goods</v>
      </c>
    </row>
    <row r="595" ht="14.25" customHeight="1">
      <c r="A595" s="4">
        <v>260.0</v>
      </c>
      <c r="B595" s="5">
        <v>42377.49827546296</v>
      </c>
      <c r="C595" s="4">
        <v>18.0</v>
      </c>
      <c r="D595" s="4" t="str">
        <f>VLOOKUP(C595,inventory,3,true)</f>
        <v>dry_goods</v>
      </c>
    </row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I1:J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7.71"/>
    <col customWidth="1" min="3" max="3" width="27.57"/>
    <col customWidth="1" min="4" max="4" width="14.86"/>
    <col customWidth="1" min="5" max="5" width="20.86"/>
    <col customWidth="1" min="6" max="6" width="14.29"/>
    <col customWidth="1" min="7" max="7" width="20.0"/>
    <col customWidth="1" min="8" max="26" width="8.71"/>
  </cols>
  <sheetData>
    <row r="1" ht="14.25" customHeight="1">
      <c r="A1" s="1" t="s">
        <v>2</v>
      </c>
      <c r="B1" s="1" t="s">
        <v>19</v>
      </c>
      <c r="C1" s="1" t="s">
        <v>6</v>
      </c>
      <c r="D1" s="1" t="s">
        <v>20</v>
      </c>
      <c r="E1" s="1" t="s">
        <v>9</v>
      </c>
      <c r="F1" s="1" t="s">
        <v>21</v>
      </c>
      <c r="G1" s="1" t="s">
        <v>22</v>
      </c>
    </row>
    <row r="2" ht="14.25" customHeight="1">
      <c r="A2" s="4">
        <v>1.0</v>
      </c>
      <c r="B2" s="4" t="s">
        <v>23</v>
      </c>
      <c r="C2" s="4" t="s">
        <v>24</v>
      </c>
      <c r="D2" s="4" t="s">
        <v>25</v>
      </c>
      <c r="E2" s="4">
        <v>3.28</v>
      </c>
      <c r="F2" s="4">
        <v>1.77</v>
      </c>
      <c r="G2" s="4">
        <v>13.0</v>
      </c>
    </row>
    <row r="3" ht="14.25" customHeight="1">
      <c r="A3" s="4">
        <v>2.0</v>
      </c>
      <c r="B3" s="4" t="s">
        <v>26</v>
      </c>
      <c r="C3" s="4" t="s">
        <v>24</v>
      </c>
      <c r="D3" s="4" t="s">
        <v>25</v>
      </c>
      <c r="E3" s="4">
        <v>1.44</v>
      </c>
      <c r="F3" s="4">
        <v>0.43</v>
      </c>
      <c r="G3" s="4">
        <v>2.0</v>
      </c>
    </row>
    <row r="4" ht="14.25" customHeight="1">
      <c r="A4" s="4">
        <v>3.0</v>
      </c>
      <c r="B4" s="4" t="s">
        <v>27</v>
      </c>
      <c r="C4" s="4" t="s">
        <v>24</v>
      </c>
      <c r="D4" s="4" t="s">
        <v>25</v>
      </c>
      <c r="E4" s="4">
        <v>1.02</v>
      </c>
      <c r="F4" s="4">
        <v>0.37</v>
      </c>
      <c r="G4" s="4">
        <v>2.0</v>
      </c>
    </row>
    <row r="5" ht="14.25" customHeight="1">
      <c r="A5" s="4">
        <v>4.0</v>
      </c>
      <c r="B5" s="4" t="s">
        <v>28</v>
      </c>
      <c r="C5" s="4" t="s">
        <v>24</v>
      </c>
      <c r="D5" s="4" t="s">
        <v>25</v>
      </c>
      <c r="E5" s="4">
        <v>1.19</v>
      </c>
      <c r="F5" s="4">
        <v>0.44</v>
      </c>
      <c r="G5" s="4">
        <v>44.0</v>
      </c>
    </row>
    <row r="6" ht="14.25" customHeight="1">
      <c r="A6" s="4">
        <v>5.0</v>
      </c>
      <c r="B6" s="4" t="s">
        <v>29</v>
      </c>
      <c r="C6" s="4" t="s">
        <v>24</v>
      </c>
      <c r="D6" s="4" t="s">
        <v>25</v>
      </c>
      <c r="E6" s="4">
        <v>3.86</v>
      </c>
      <c r="F6" s="4">
        <v>1.66</v>
      </c>
      <c r="G6" s="4">
        <v>19.0</v>
      </c>
    </row>
    <row r="7" ht="14.25" customHeight="1">
      <c r="A7" s="4">
        <v>6.0</v>
      </c>
      <c r="B7" s="4" t="s">
        <v>30</v>
      </c>
      <c r="C7" s="4" t="s">
        <v>24</v>
      </c>
      <c r="D7" s="4" t="s">
        <v>25</v>
      </c>
      <c r="E7" s="4">
        <v>1.69</v>
      </c>
      <c r="F7" s="4">
        <v>0.91</v>
      </c>
      <c r="G7" s="4">
        <v>10.0</v>
      </c>
    </row>
    <row r="8" ht="14.25" customHeight="1">
      <c r="A8" s="4">
        <v>7.0</v>
      </c>
      <c r="B8" s="4" t="s">
        <v>31</v>
      </c>
      <c r="C8" s="4" t="s">
        <v>24</v>
      </c>
      <c r="D8" s="4" t="s">
        <v>25</v>
      </c>
      <c r="E8" s="4">
        <v>2.54</v>
      </c>
      <c r="F8" s="4">
        <v>0.89</v>
      </c>
      <c r="G8" s="4">
        <v>25.0</v>
      </c>
    </row>
    <row r="9" ht="14.25" customHeight="1">
      <c r="A9" s="4">
        <v>8.0</v>
      </c>
      <c r="B9" s="4" t="s">
        <v>32</v>
      </c>
      <c r="C9" s="4" t="s">
        <v>24</v>
      </c>
      <c r="D9" s="4" t="s">
        <v>25</v>
      </c>
      <c r="E9" s="4">
        <v>3.99</v>
      </c>
      <c r="F9" s="4">
        <v>1.44</v>
      </c>
      <c r="G9" s="4">
        <v>26.0</v>
      </c>
    </row>
    <row r="10" ht="14.25" customHeight="1">
      <c r="A10" s="4">
        <v>9.0</v>
      </c>
      <c r="B10" s="4" t="s">
        <v>33</v>
      </c>
      <c r="C10" s="4" t="s">
        <v>24</v>
      </c>
      <c r="D10" s="4" t="s">
        <v>25</v>
      </c>
      <c r="E10" s="4">
        <v>0.96</v>
      </c>
      <c r="F10" s="4">
        <v>0.56</v>
      </c>
      <c r="G10" s="4">
        <v>32.0</v>
      </c>
    </row>
    <row r="11" ht="14.25" customHeight="1">
      <c r="A11" s="4">
        <v>10.0</v>
      </c>
      <c r="B11" s="4" t="s">
        <v>34</v>
      </c>
      <c r="C11" s="4" t="s">
        <v>24</v>
      </c>
      <c r="D11" s="4" t="s">
        <v>25</v>
      </c>
      <c r="E11" s="4">
        <v>0.96</v>
      </c>
      <c r="F11" s="4">
        <v>0.57</v>
      </c>
      <c r="G11" s="4">
        <v>33.0</v>
      </c>
    </row>
    <row r="12" ht="14.25" customHeight="1">
      <c r="A12" s="4">
        <v>11.0</v>
      </c>
      <c r="B12" s="4" t="s">
        <v>35</v>
      </c>
      <c r="C12" s="4" t="s">
        <v>24</v>
      </c>
      <c r="D12" s="4" t="s">
        <v>25</v>
      </c>
      <c r="E12" s="4">
        <v>4.89</v>
      </c>
      <c r="F12" s="4">
        <v>2.0</v>
      </c>
      <c r="G12" s="4">
        <v>42.0</v>
      </c>
    </row>
    <row r="13" ht="14.25" customHeight="1">
      <c r="A13" s="4">
        <v>12.0</v>
      </c>
      <c r="B13" s="4" t="s">
        <v>36</v>
      </c>
      <c r="C13" s="4" t="s">
        <v>12</v>
      </c>
      <c r="D13" s="4" t="s">
        <v>37</v>
      </c>
      <c r="E13" s="4">
        <v>1.15</v>
      </c>
      <c r="F13" s="4">
        <v>0.58</v>
      </c>
      <c r="G13" s="4">
        <v>41.0</v>
      </c>
    </row>
    <row r="14" ht="14.25" customHeight="1">
      <c r="A14" s="4">
        <v>13.0</v>
      </c>
      <c r="B14" s="4" t="s">
        <v>38</v>
      </c>
      <c r="C14" s="4" t="s">
        <v>16</v>
      </c>
      <c r="D14" s="4" t="s">
        <v>39</v>
      </c>
      <c r="E14" s="4">
        <v>0.38</v>
      </c>
      <c r="F14" s="4">
        <v>0.21</v>
      </c>
      <c r="G14" s="4">
        <v>42.0</v>
      </c>
    </row>
    <row r="15" ht="14.25" customHeight="1">
      <c r="A15" s="4">
        <v>14.0</v>
      </c>
      <c r="B15" s="4" t="s">
        <v>40</v>
      </c>
      <c r="C15" s="4" t="s">
        <v>11</v>
      </c>
      <c r="D15" s="4" t="s">
        <v>37</v>
      </c>
      <c r="E15" s="4">
        <v>0.53</v>
      </c>
      <c r="F15" s="4">
        <v>0.29</v>
      </c>
      <c r="G15" s="4">
        <v>2.0</v>
      </c>
    </row>
    <row r="16" ht="14.25" customHeight="1">
      <c r="A16" s="4">
        <v>15.0</v>
      </c>
      <c r="B16" s="4" t="s">
        <v>41</v>
      </c>
      <c r="C16" s="4" t="s">
        <v>11</v>
      </c>
      <c r="D16" s="4" t="s">
        <v>37</v>
      </c>
      <c r="E16" s="4">
        <v>0.43</v>
      </c>
      <c r="F16" s="4">
        <v>0.17</v>
      </c>
      <c r="G16" s="4">
        <v>35.0</v>
      </c>
    </row>
    <row r="17" ht="14.25" customHeight="1">
      <c r="A17" s="4">
        <v>16.0</v>
      </c>
      <c r="B17" s="4" t="s">
        <v>42</v>
      </c>
      <c r="C17" s="4" t="s">
        <v>11</v>
      </c>
      <c r="D17" s="4" t="s">
        <v>37</v>
      </c>
      <c r="E17" s="4">
        <v>2.43</v>
      </c>
      <c r="F17" s="4">
        <v>1.19</v>
      </c>
      <c r="G17" s="4">
        <v>32.0</v>
      </c>
    </row>
    <row r="18" ht="14.25" customHeight="1">
      <c r="A18" s="4">
        <v>17.0</v>
      </c>
      <c r="B18" s="4" t="s">
        <v>43</v>
      </c>
      <c r="C18" s="4" t="s">
        <v>15</v>
      </c>
      <c r="D18" s="4" t="s">
        <v>44</v>
      </c>
      <c r="E18" s="4">
        <v>2.67</v>
      </c>
      <c r="F18" s="4">
        <v>0.96</v>
      </c>
      <c r="G18" s="4">
        <v>38.0</v>
      </c>
    </row>
    <row r="19" ht="14.25" customHeight="1">
      <c r="A19" s="4">
        <v>18.0</v>
      </c>
      <c r="B19" s="4" t="s">
        <v>45</v>
      </c>
      <c r="C19" s="4" t="s">
        <v>10</v>
      </c>
      <c r="D19" s="4" t="s">
        <v>37</v>
      </c>
      <c r="E19" s="4">
        <v>0.67</v>
      </c>
      <c r="F19" s="4">
        <v>0.36</v>
      </c>
      <c r="G19" s="4">
        <v>30.0</v>
      </c>
    </row>
    <row r="20" ht="14.25" customHeight="1">
      <c r="A20" s="4">
        <v>19.0</v>
      </c>
      <c r="B20" s="4" t="s">
        <v>46</v>
      </c>
      <c r="C20" s="4" t="s">
        <v>11</v>
      </c>
      <c r="D20" s="4" t="s">
        <v>37</v>
      </c>
      <c r="E20" s="4">
        <v>0.41</v>
      </c>
      <c r="F20" s="4">
        <v>0.16</v>
      </c>
      <c r="G20" s="4">
        <v>13.0</v>
      </c>
    </row>
    <row r="21" ht="14.25" customHeight="1">
      <c r="A21" s="4">
        <v>20.0</v>
      </c>
      <c r="B21" s="4" t="s">
        <v>47</v>
      </c>
      <c r="C21" s="4" t="s">
        <v>11</v>
      </c>
      <c r="D21" s="4" t="s">
        <v>37</v>
      </c>
      <c r="E21" s="4">
        <v>1.11</v>
      </c>
      <c r="F21" s="4">
        <v>0.37</v>
      </c>
      <c r="G21" s="4">
        <v>26.0</v>
      </c>
    </row>
    <row r="22" ht="14.25" customHeight="1">
      <c r="A22" s="4">
        <v>21.0</v>
      </c>
      <c r="B22" s="4" t="s">
        <v>48</v>
      </c>
      <c r="C22" s="4" t="s">
        <v>11</v>
      </c>
      <c r="D22" s="4" t="s">
        <v>37</v>
      </c>
      <c r="E22" s="4">
        <v>2.59</v>
      </c>
      <c r="F22" s="4">
        <v>1.24</v>
      </c>
      <c r="G22" s="4">
        <v>21.0</v>
      </c>
    </row>
    <row r="23" ht="14.25" customHeight="1">
      <c r="A23" s="4">
        <v>22.0</v>
      </c>
      <c r="B23" s="4" t="s">
        <v>49</v>
      </c>
      <c r="C23" s="4" t="s">
        <v>17</v>
      </c>
      <c r="D23" s="4" t="s">
        <v>25</v>
      </c>
      <c r="E23" s="4">
        <v>19.59</v>
      </c>
      <c r="F23" s="4">
        <v>9.01</v>
      </c>
      <c r="G23" s="4">
        <v>3.0</v>
      </c>
    </row>
    <row r="24" ht="14.25" customHeight="1">
      <c r="A24" s="4">
        <v>23.0</v>
      </c>
      <c r="B24" s="4" t="s">
        <v>50</v>
      </c>
      <c r="C24" s="4" t="s">
        <v>10</v>
      </c>
      <c r="D24" s="4" t="s">
        <v>37</v>
      </c>
      <c r="E24" s="4">
        <v>0.91</v>
      </c>
      <c r="F24" s="4">
        <v>0.3</v>
      </c>
      <c r="G24" s="4">
        <v>42.0</v>
      </c>
    </row>
    <row r="25" ht="14.25" customHeight="1">
      <c r="A25" s="4">
        <v>24.0</v>
      </c>
      <c r="B25" s="4" t="s">
        <v>51</v>
      </c>
      <c r="C25" s="4" t="s">
        <v>10</v>
      </c>
      <c r="D25" s="4" t="s">
        <v>37</v>
      </c>
      <c r="E25" s="4">
        <v>0.56</v>
      </c>
      <c r="F25" s="4">
        <v>0.26</v>
      </c>
      <c r="G25" s="4">
        <v>34.0</v>
      </c>
    </row>
    <row r="26" ht="14.25" customHeight="1">
      <c r="A26" s="4">
        <v>25.0</v>
      </c>
      <c r="B26" s="4" t="s">
        <v>52</v>
      </c>
      <c r="C26" s="4" t="s">
        <v>17</v>
      </c>
      <c r="D26" s="4" t="s">
        <v>25</v>
      </c>
      <c r="E26" s="4">
        <v>39.99</v>
      </c>
      <c r="F26" s="4">
        <v>20.0</v>
      </c>
      <c r="G26" s="4">
        <v>5.0</v>
      </c>
    </row>
    <row r="27" ht="14.25" customHeight="1">
      <c r="A27" s="4">
        <v>26.0</v>
      </c>
      <c r="B27" s="4" t="s">
        <v>53</v>
      </c>
      <c r="C27" s="4" t="s">
        <v>16</v>
      </c>
      <c r="D27" s="4" t="s">
        <v>39</v>
      </c>
      <c r="E27" s="4">
        <v>0.25</v>
      </c>
      <c r="F27" s="4">
        <v>0.13</v>
      </c>
      <c r="G27" s="4">
        <v>15.0</v>
      </c>
    </row>
    <row r="28" ht="14.25" customHeight="1">
      <c r="A28" s="4">
        <v>27.0</v>
      </c>
      <c r="B28" s="4" t="s">
        <v>54</v>
      </c>
      <c r="C28" s="4" t="s">
        <v>15</v>
      </c>
      <c r="D28" s="4" t="s">
        <v>39</v>
      </c>
      <c r="E28" s="4">
        <v>6.0</v>
      </c>
      <c r="F28" s="4">
        <v>4.29</v>
      </c>
      <c r="G28" s="4">
        <v>7.0</v>
      </c>
    </row>
    <row r="29" ht="14.25" customHeight="1">
      <c r="A29" s="4">
        <v>28.0</v>
      </c>
      <c r="B29" s="4" t="s">
        <v>55</v>
      </c>
      <c r="C29" s="4" t="s">
        <v>10</v>
      </c>
      <c r="D29" s="4" t="s">
        <v>37</v>
      </c>
      <c r="E29" s="4">
        <v>0.69</v>
      </c>
      <c r="F29" s="4">
        <v>0.33</v>
      </c>
      <c r="G29" s="4">
        <v>2.0</v>
      </c>
    </row>
    <row r="30" ht="14.25" customHeight="1">
      <c r="A30" s="4">
        <v>29.0</v>
      </c>
      <c r="B30" s="4" t="s">
        <v>56</v>
      </c>
      <c r="C30" s="4" t="s">
        <v>12</v>
      </c>
      <c r="D30" s="4" t="s">
        <v>37</v>
      </c>
      <c r="E30" s="4">
        <v>0.63</v>
      </c>
      <c r="F30" s="4">
        <v>0.25</v>
      </c>
      <c r="G30" s="4">
        <v>20.0</v>
      </c>
    </row>
    <row r="31" ht="14.25" customHeight="1">
      <c r="A31" s="4">
        <v>30.0</v>
      </c>
      <c r="B31" s="4" t="s">
        <v>57</v>
      </c>
      <c r="C31" s="4" t="s">
        <v>12</v>
      </c>
      <c r="D31" s="4" t="s">
        <v>37</v>
      </c>
      <c r="E31" s="4">
        <v>0.91</v>
      </c>
      <c r="F31" s="4">
        <v>0.54</v>
      </c>
      <c r="G31" s="4">
        <v>15.0</v>
      </c>
    </row>
    <row r="32" ht="14.25" customHeight="1">
      <c r="A32" s="4">
        <v>31.0</v>
      </c>
      <c r="B32" s="4" t="s">
        <v>58</v>
      </c>
      <c r="C32" s="4" t="s">
        <v>11</v>
      </c>
      <c r="D32" s="4" t="s">
        <v>37</v>
      </c>
      <c r="E32" s="4">
        <v>0.61</v>
      </c>
      <c r="F32" s="4">
        <v>0.21</v>
      </c>
      <c r="G32" s="4">
        <v>20.0</v>
      </c>
    </row>
    <row r="33" ht="14.25" customHeight="1">
      <c r="A33" s="4">
        <v>32.0</v>
      </c>
      <c r="B33" s="4" t="s">
        <v>59</v>
      </c>
      <c r="C33" s="4" t="s">
        <v>24</v>
      </c>
      <c r="D33" s="4" t="s">
        <v>25</v>
      </c>
      <c r="E33" s="4">
        <v>2.99</v>
      </c>
      <c r="F33" s="4">
        <v>1.05</v>
      </c>
      <c r="G33" s="4">
        <v>10.0</v>
      </c>
    </row>
    <row r="34" ht="14.25" customHeight="1">
      <c r="A34" s="4">
        <v>33.0</v>
      </c>
      <c r="B34" s="4" t="s">
        <v>60</v>
      </c>
      <c r="C34" s="4" t="s">
        <v>14</v>
      </c>
      <c r="D34" s="4" t="s">
        <v>37</v>
      </c>
      <c r="E34" s="4">
        <v>0.97</v>
      </c>
      <c r="F34" s="4">
        <v>0.55</v>
      </c>
      <c r="G34" s="4">
        <v>2.0</v>
      </c>
    </row>
    <row r="35" ht="14.25" customHeight="1">
      <c r="A35" s="4">
        <v>34.0</v>
      </c>
      <c r="B35" s="4" t="s">
        <v>61</v>
      </c>
      <c r="C35" s="4" t="s">
        <v>14</v>
      </c>
      <c r="D35" s="4" t="s">
        <v>37</v>
      </c>
      <c r="E35" s="4">
        <v>0.95</v>
      </c>
      <c r="F35" s="4">
        <v>0.35</v>
      </c>
      <c r="G35" s="4">
        <v>13.0</v>
      </c>
    </row>
    <row r="36" ht="14.25" customHeight="1">
      <c r="A36" s="4">
        <v>35.0</v>
      </c>
      <c r="B36" s="4" t="s">
        <v>62</v>
      </c>
      <c r="C36" s="4" t="s">
        <v>13</v>
      </c>
      <c r="D36" s="4" t="s">
        <v>37</v>
      </c>
      <c r="E36" s="4">
        <v>1.39</v>
      </c>
      <c r="F36" s="4">
        <v>0.74</v>
      </c>
      <c r="G36" s="4">
        <v>25.0</v>
      </c>
    </row>
    <row r="37" ht="14.25" customHeight="1">
      <c r="A37" s="4">
        <v>36.0</v>
      </c>
      <c r="B37" s="4" t="s">
        <v>63</v>
      </c>
      <c r="C37" s="4" t="s">
        <v>14</v>
      </c>
      <c r="D37" s="4" t="s">
        <v>37</v>
      </c>
      <c r="E37" s="4">
        <v>1.12</v>
      </c>
      <c r="F37" s="4">
        <v>0.57</v>
      </c>
      <c r="G37" s="4">
        <v>36.0</v>
      </c>
    </row>
    <row r="38" ht="14.25" customHeight="1">
      <c r="A38" s="4">
        <v>37.0</v>
      </c>
      <c r="B38" s="4" t="s">
        <v>64</v>
      </c>
      <c r="C38" s="4" t="s">
        <v>13</v>
      </c>
      <c r="D38" s="4" t="s">
        <v>37</v>
      </c>
      <c r="E38" s="4">
        <v>3.52</v>
      </c>
      <c r="F38" s="4">
        <v>1.09</v>
      </c>
      <c r="G38" s="4">
        <v>40.0</v>
      </c>
    </row>
    <row r="39" ht="14.25" customHeight="1">
      <c r="A39" s="4">
        <v>38.0</v>
      </c>
      <c r="B39" s="4" t="s">
        <v>65</v>
      </c>
      <c r="C39" s="4" t="s">
        <v>13</v>
      </c>
      <c r="D39" s="4" t="s">
        <v>37</v>
      </c>
      <c r="E39" s="4">
        <v>1.19</v>
      </c>
      <c r="F39" s="4">
        <v>0.65</v>
      </c>
      <c r="G39" s="4">
        <v>31.0</v>
      </c>
    </row>
    <row r="40" ht="14.25" customHeight="1">
      <c r="A40" s="4">
        <v>39.0</v>
      </c>
      <c r="B40" s="4" t="s">
        <v>66</v>
      </c>
      <c r="C40" s="4" t="s">
        <v>11</v>
      </c>
      <c r="D40" s="4" t="s">
        <v>37</v>
      </c>
      <c r="E40" s="4">
        <v>0.59</v>
      </c>
      <c r="F40" s="4">
        <v>0.21</v>
      </c>
      <c r="G40" s="4">
        <v>32.0</v>
      </c>
    </row>
    <row r="41" ht="14.25" customHeight="1">
      <c r="A41" s="4">
        <v>40.0</v>
      </c>
      <c r="B41" s="4" t="s">
        <v>67</v>
      </c>
      <c r="C41" s="4" t="s">
        <v>13</v>
      </c>
      <c r="D41" s="4" t="s">
        <v>37</v>
      </c>
      <c r="E41" s="4">
        <v>1.17</v>
      </c>
      <c r="F41" s="4">
        <v>0.6</v>
      </c>
      <c r="G41" s="4">
        <v>28.0</v>
      </c>
    </row>
    <row r="42" ht="14.25" customHeight="1">
      <c r="A42" s="4">
        <v>41.0</v>
      </c>
      <c r="B42" s="4" t="s">
        <v>68</v>
      </c>
      <c r="C42" s="4" t="s">
        <v>13</v>
      </c>
      <c r="D42" s="4" t="s">
        <v>37</v>
      </c>
      <c r="E42" s="4">
        <v>1.09</v>
      </c>
      <c r="F42" s="4">
        <v>0.58</v>
      </c>
      <c r="G42" s="4">
        <v>23.0</v>
      </c>
    </row>
    <row r="43" ht="14.25" customHeight="1">
      <c r="A43" s="4">
        <v>42.0</v>
      </c>
      <c r="B43" s="4" t="s">
        <v>69</v>
      </c>
      <c r="C43" s="4" t="s">
        <v>24</v>
      </c>
      <c r="D43" s="4" t="s">
        <v>25</v>
      </c>
      <c r="E43" s="4">
        <v>5.99</v>
      </c>
      <c r="F43" s="4">
        <v>3.41</v>
      </c>
      <c r="G43" s="4">
        <v>44.0</v>
      </c>
    </row>
    <row r="44" ht="14.25" customHeight="1">
      <c r="A44" s="4">
        <v>43.0</v>
      </c>
      <c r="B44" s="4" t="s">
        <v>70</v>
      </c>
      <c r="C44" s="4" t="s">
        <v>18</v>
      </c>
      <c r="D44" s="4" t="s">
        <v>37</v>
      </c>
      <c r="E44" s="4">
        <v>0.99</v>
      </c>
      <c r="F44" s="4">
        <v>0.36</v>
      </c>
      <c r="G44" s="4">
        <v>38.0</v>
      </c>
    </row>
    <row r="45" ht="14.25" customHeight="1">
      <c r="A45" s="4">
        <v>44.0</v>
      </c>
      <c r="B45" s="4" t="s">
        <v>71</v>
      </c>
      <c r="C45" s="4" t="s">
        <v>13</v>
      </c>
      <c r="D45" s="4" t="s">
        <v>37</v>
      </c>
      <c r="E45" s="4">
        <v>4.99</v>
      </c>
      <c r="F45" s="4">
        <v>2.54</v>
      </c>
      <c r="G45" s="4">
        <v>39.0</v>
      </c>
    </row>
    <row r="46" ht="14.25" customHeight="1">
      <c r="A46" s="4">
        <v>45.0</v>
      </c>
      <c r="B46" s="4" t="s">
        <v>72</v>
      </c>
      <c r="C46" s="4" t="s">
        <v>13</v>
      </c>
      <c r="D46" s="4" t="s">
        <v>37</v>
      </c>
      <c r="E46" s="4">
        <v>1.29</v>
      </c>
      <c r="F46" s="4">
        <v>0.57</v>
      </c>
      <c r="G46" s="4">
        <v>4.0</v>
      </c>
    </row>
    <row r="47" ht="14.25" customHeight="1">
      <c r="A47" s="4">
        <v>46.0</v>
      </c>
      <c r="B47" s="4" t="s">
        <v>73</v>
      </c>
      <c r="C47" s="4" t="s">
        <v>13</v>
      </c>
      <c r="D47" s="4" t="s">
        <v>37</v>
      </c>
      <c r="E47" s="4">
        <v>16.99</v>
      </c>
      <c r="F47" s="4">
        <v>9.17</v>
      </c>
      <c r="G47" s="4">
        <v>5.0</v>
      </c>
    </row>
    <row r="48" ht="14.25" customHeight="1">
      <c r="A48" s="4">
        <v>47.0</v>
      </c>
      <c r="B48" s="4" t="s">
        <v>74</v>
      </c>
      <c r="C48" s="4" t="s">
        <v>12</v>
      </c>
      <c r="D48" s="4" t="s">
        <v>37</v>
      </c>
      <c r="E48" s="4">
        <v>1.17</v>
      </c>
      <c r="F48" s="4">
        <v>0.66</v>
      </c>
      <c r="G48" s="4">
        <v>43.0</v>
      </c>
    </row>
    <row r="49" ht="14.25" customHeight="1">
      <c r="A49" s="4">
        <v>48.0</v>
      </c>
      <c r="B49" s="4" t="s">
        <v>75</v>
      </c>
      <c r="C49" s="4" t="s">
        <v>10</v>
      </c>
      <c r="D49" s="4" t="s">
        <v>37</v>
      </c>
      <c r="E49" s="4">
        <v>0.89</v>
      </c>
      <c r="F49" s="4">
        <v>0.31</v>
      </c>
      <c r="G49" s="4">
        <v>17.0</v>
      </c>
    </row>
    <row r="50" ht="14.25" customHeight="1">
      <c r="A50" s="4">
        <v>49.0</v>
      </c>
      <c r="B50" s="4" t="s">
        <v>76</v>
      </c>
      <c r="C50" s="4" t="s">
        <v>12</v>
      </c>
      <c r="D50" s="4" t="s">
        <v>37</v>
      </c>
      <c r="E50" s="4">
        <v>0.67</v>
      </c>
      <c r="F50" s="4">
        <v>0.33</v>
      </c>
      <c r="G50" s="4">
        <v>16.0</v>
      </c>
    </row>
    <row r="51" ht="14.25" customHeight="1">
      <c r="A51" s="4">
        <v>50.0</v>
      </c>
      <c r="B51" s="4" t="s">
        <v>77</v>
      </c>
      <c r="C51" s="4" t="s">
        <v>12</v>
      </c>
      <c r="D51" s="4" t="s">
        <v>37</v>
      </c>
      <c r="E51" s="4">
        <v>0.77</v>
      </c>
      <c r="F51" s="4">
        <v>0.36</v>
      </c>
      <c r="G51" s="4">
        <v>24.0</v>
      </c>
    </row>
    <row r="52" ht="14.25" customHeight="1">
      <c r="A52" s="4">
        <v>51.0</v>
      </c>
      <c r="B52" s="4" t="s">
        <v>78</v>
      </c>
      <c r="C52" s="4" t="s">
        <v>12</v>
      </c>
      <c r="D52" s="4" t="s">
        <v>37</v>
      </c>
      <c r="E52" s="4">
        <v>0.89</v>
      </c>
      <c r="F52" s="4">
        <v>0.53</v>
      </c>
      <c r="G52" s="4">
        <v>15.0</v>
      </c>
    </row>
    <row r="53" ht="14.25" customHeight="1">
      <c r="A53" s="4">
        <v>52.0</v>
      </c>
      <c r="B53" s="4" t="s">
        <v>79</v>
      </c>
      <c r="C53" s="4" t="s">
        <v>12</v>
      </c>
      <c r="D53" s="4" t="s">
        <v>37</v>
      </c>
      <c r="E53" s="4">
        <v>1.79</v>
      </c>
      <c r="F53" s="4">
        <v>0.72</v>
      </c>
      <c r="G53" s="4">
        <v>15.0</v>
      </c>
    </row>
    <row r="54" ht="14.25" customHeight="1">
      <c r="A54" s="4">
        <v>53.0</v>
      </c>
      <c r="B54" s="4" t="s">
        <v>80</v>
      </c>
      <c r="C54" s="4" t="s">
        <v>12</v>
      </c>
      <c r="D54" s="4" t="s">
        <v>37</v>
      </c>
      <c r="E54" s="4">
        <v>1.69</v>
      </c>
      <c r="F54" s="4">
        <v>0.63</v>
      </c>
      <c r="G54" s="4">
        <v>11.0</v>
      </c>
    </row>
    <row r="55" ht="14.25" customHeight="1">
      <c r="A55" s="4">
        <v>54.0</v>
      </c>
      <c r="B55" s="4" t="s">
        <v>81</v>
      </c>
      <c r="C55" s="4" t="s">
        <v>12</v>
      </c>
      <c r="D55" s="4" t="s">
        <v>37</v>
      </c>
      <c r="E55" s="4">
        <v>1.23</v>
      </c>
      <c r="F55" s="4">
        <v>0.69</v>
      </c>
      <c r="G55" s="4">
        <v>38.0</v>
      </c>
    </row>
    <row r="56" ht="14.25" customHeight="1">
      <c r="A56" s="4">
        <v>55.0</v>
      </c>
      <c r="B56" s="4" t="s">
        <v>82</v>
      </c>
      <c r="C56" s="4" t="s">
        <v>12</v>
      </c>
      <c r="D56" s="4" t="s">
        <v>37</v>
      </c>
      <c r="E56" s="4">
        <v>1.1</v>
      </c>
      <c r="F56" s="4">
        <v>0.39</v>
      </c>
      <c r="G56" s="4">
        <v>30.0</v>
      </c>
    </row>
    <row r="57" ht="14.25" customHeight="1">
      <c r="A57" s="4">
        <v>56.0</v>
      </c>
      <c r="B57" s="4" t="s">
        <v>83</v>
      </c>
      <c r="C57" s="4" t="s">
        <v>10</v>
      </c>
      <c r="D57" s="4" t="s">
        <v>37</v>
      </c>
      <c r="E57" s="4">
        <v>0.86</v>
      </c>
      <c r="F57" s="4">
        <v>0.4</v>
      </c>
      <c r="G57" s="4">
        <v>11.0</v>
      </c>
    </row>
    <row r="58" ht="14.25" customHeight="1">
      <c r="A58" s="4">
        <v>57.0</v>
      </c>
      <c r="B58" s="4" t="s">
        <v>84</v>
      </c>
      <c r="C58" s="4" t="s">
        <v>24</v>
      </c>
      <c r="D58" s="4" t="s">
        <v>25</v>
      </c>
      <c r="E58" s="4">
        <v>3.6</v>
      </c>
      <c r="F58" s="4">
        <v>1.19</v>
      </c>
      <c r="G58" s="4">
        <v>20.0</v>
      </c>
    </row>
    <row r="59" ht="14.25" customHeight="1">
      <c r="A59" s="4">
        <v>58.0</v>
      </c>
      <c r="B59" s="4" t="s">
        <v>85</v>
      </c>
      <c r="C59" s="4" t="s">
        <v>10</v>
      </c>
      <c r="D59" s="4" t="s">
        <v>37</v>
      </c>
      <c r="E59" s="4">
        <v>0.96</v>
      </c>
      <c r="F59" s="4">
        <v>0.45</v>
      </c>
      <c r="G59" s="4">
        <v>19.0</v>
      </c>
    </row>
    <row r="60" ht="14.25" customHeight="1">
      <c r="A60" s="4">
        <v>59.0</v>
      </c>
      <c r="B60" s="4" t="s">
        <v>86</v>
      </c>
      <c r="C60" s="4" t="s">
        <v>24</v>
      </c>
      <c r="D60" s="4" t="s">
        <v>37</v>
      </c>
      <c r="E60" s="4">
        <v>4.29</v>
      </c>
      <c r="F60" s="4">
        <v>1.37</v>
      </c>
      <c r="G60" s="4">
        <v>21.0</v>
      </c>
    </row>
    <row r="61" ht="14.25" customHeight="1">
      <c r="A61" s="4">
        <v>60.0</v>
      </c>
      <c r="B61" s="4" t="s">
        <v>87</v>
      </c>
      <c r="C61" s="4" t="s">
        <v>24</v>
      </c>
      <c r="D61" s="4" t="s">
        <v>25</v>
      </c>
      <c r="E61" s="4">
        <v>2.06</v>
      </c>
      <c r="F61" s="4">
        <v>0.87</v>
      </c>
      <c r="G61" s="4">
        <v>39.0</v>
      </c>
    </row>
    <row r="62" ht="14.25" customHeight="1">
      <c r="A62" s="4">
        <v>61.0</v>
      </c>
      <c r="B62" s="4" t="s">
        <v>88</v>
      </c>
      <c r="C62" s="4" t="s">
        <v>24</v>
      </c>
      <c r="D62" s="4" t="s">
        <v>25</v>
      </c>
      <c r="E62" s="4">
        <v>0.55</v>
      </c>
      <c r="F62" s="4">
        <v>0.22</v>
      </c>
      <c r="G62" s="4">
        <v>15.0</v>
      </c>
    </row>
    <row r="63" ht="14.25" customHeight="1">
      <c r="A63" s="4">
        <v>62.0</v>
      </c>
      <c r="B63" s="4" t="s">
        <v>89</v>
      </c>
      <c r="C63" s="4" t="s">
        <v>10</v>
      </c>
      <c r="D63" s="4" t="s">
        <v>37</v>
      </c>
      <c r="E63" s="4">
        <v>1.17</v>
      </c>
      <c r="F63" s="4">
        <v>0.56</v>
      </c>
      <c r="G63" s="4">
        <v>19.0</v>
      </c>
    </row>
    <row r="64" ht="14.25" customHeight="1">
      <c r="A64" s="4">
        <v>63.0</v>
      </c>
      <c r="B64" s="4" t="s">
        <v>90</v>
      </c>
      <c r="C64" s="4" t="s">
        <v>24</v>
      </c>
      <c r="D64" s="4" t="s">
        <v>25</v>
      </c>
      <c r="E64" s="4">
        <v>3.57</v>
      </c>
      <c r="F64" s="4">
        <v>1.32</v>
      </c>
      <c r="G64" s="4">
        <v>24.0</v>
      </c>
    </row>
    <row r="65" ht="14.25" customHeight="1">
      <c r="A65" s="4">
        <v>64.0</v>
      </c>
      <c r="B65" s="4" t="s">
        <v>91</v>
      </c>
      <c r="C65" s="4" t="s">
        <v>24</v>
      </c>
      <c r="D65" s="4" t="s">
        <v>25</v>
      </c>
      <c r="E65" s="4">
        <v>1.22</v>
      </c>
      <c r="F65" s="4">
        <v>0.44</v>
      </c>
      <c r="G65" s="4">
        <v>2.0</v>
      </c>
    </row>
    <row r="66" ht="14.25" customHeight="1">
      <c r="A66" s="4">
        <v>65.0</v>
      </c>
      <c r="B66" s="4" t="s">
        <v>92</v>
      </c>
      <c r="C66" s="4" t="s">
        <v>24</v>
      </c>
      <c r="D66" s="4" t="s">
        <v>25</v>
      </c>
      <c r="E66" s="4">
        <v>1.32</v>
      </c>
      <c r="F66" s="4">
        <v>0.45</v>
      </c>
      <c r="G66" s="4">
        <v>20.0</v>
      </c>
    </row>
    <row r="67" ht="14.25" customHeight="1">
      <c r="A67" s="4">
        <v>66.0</v>
      </c>
      <c r="B67" s="4" t="s">
        <v>93</v>
      </c>
      <c r="C67" s="4" t="s">
        <v>24</v>
      </c>
      <c r="D67" s="4" t="s">
        <v>25</v>
      </c>
      <c r="E67" s="4">
        <v>1.12</v>
      </c>
      <c r="F67" s="4">
        <v>0.44</v>
      </c>
      <c r="G67" s="4">
        <v>11.0</v>
      </c>
    </row>
    <row r="68" ht="14.25" customHeight="1">
      <c r="A68" s="4">
        <v>67.0</v>
      </c>
      <c r="B68" s="4" t="s">
        <v>94</v>
      </c>
      <c r="C68" s="4" t="s">
        <v>10</v>
      </c>
      <c r="D68" s="4" t="s">
        <v>37</v>
      </c>
      <c r="E68" s="4">
        <v>1.74</v>
      </c>
      <c r="F68" s="4">
        <v>0.87</v>
      </c>
      <c r="G68" s="4">
        <v>34.0</v>
      </c>
    </row>
    <row r="69" ht="14.25" customHeight="1">
      <c r="A69" s="4">
        <v>68.0</v>
      </c>
      <c r="B69" s="4" t="s">
        <v>95</v>
      </c>
      <c r="C69" s="4" t="s">
        <v>24</v>
      </c>
      <c r="D69" s="4" t="s">
        <v>25</v>
      </c>
      <c r="E69" s="4">
        <v>0.67</v>
      </c>
      <c r="F69" s="4">
        <v>0.29</v>
      </c>
      <c r="G69" s="4">
        <v>11.0</v>
      </c>
    </row>
    <row r="70" ht="14.25" customHeight="1">
      <c r="A70" s="4">
        <v>69.0</v>
      </c>
      <c r="B70" s="4" t="s">
        <v>96</v>
      </c>
      <c r="C70" s="4" t="s">
        <v>10</v>
      </c>
      <c r="D70" s="4" t="s">
        <v>37</v>
      </c>
      <c r="E70" s="4">
        <v>0.27</v>
      </c>
      <c r="F70" s="4">
        <v>0.09</v>
      </c>
      <c r="G70" s="4">
        <v>20.0</v>
      </c>
    </row>
    <row r="71" ht="14.25" customHeight="1">
      <c r="A71" s="4">
        <v>70.0</v>
      </c>
      <c r="B71" s="4" t="s">
        <v>97</v>
      </c>
      <c r="C71" s="4" t="s">
        <v>10</v>
      </c>
      <c r="D71" s="4" t="s">
        <v>37</v>
      </c>
      <c r="E71" s="4">
        <v>0.19</v>
      </c>
      <c r="F71" s="4">
        <v>0.1</v>
      </c>
      <c r="G71" s="4">
        <v>3.0</v>
      </c>
    </row>
    <row r="72" ht="14.25" customHeight="1">
      <c r="A72" s="4">
        <v>71.0</v>
      </c>
      <c r="B72" s="4" t="s">
        <v>98</v>
      </c>
      <c r="C72" s="4" t="s">
        <v>10</v>
      </c>
      <c r="D72" s="4" t="s">
        <v>37</v>
      </c>
      <c r="E72" s="4">
        <v>0.24</v>
      </c>
      <c r="F72" s="4">
        <v>0.11</v>
      </c>
      <c r="G72" s="4">
        <v>42.0</v>
      </c>
    </row>
    <row r="73" ht="14.25" customHeight="1">
      <c r="A73" s="4">
        <v>72.0</v>
      </c>
      <c r="B73" s="4" t="s">
        <v>99</v>
      </c>
      <c r="C73" s="4" t="s">
        <v>10</v>
      </c>
      <c r="D73" s="4" t="s">
        <v>37</v>
      </c>
      <c r="E73" s="4">
        <v>0.27</v>
      </c>
      <c r="F73" s="4">
        <v>0.16</v>
      </c>
      <c r="G73" s="4">
        <v>12.0</v>
      </c>
    </row>
    <row r="74" ht="14.25" customHeight="1">
      <c r="A74" s="4">
        <v>73.0</v>
      </c>
      <c r="B74" s="4" t="s">
        <v>100</v>
      </c>
      <c r="C74" s="4" t="s">
        <v>11</v>
      </c>
      <c r="D74" s="4" t="s">
        <v>37</v>
      </c>
      <c r="E74" s="4">
        <v>0.69</v>
      </c>
      <c r="F74" s="4">
        <v>0.32</v>
      </c>
      <c r="G74" s="4">
        <v>14.0</v>
      </c>
    </row>
    <row r="75" ht="14.25" customHeight="1">
      <c r="A75" s="4">
        <v>74.0</v>
      </c>
      <c r="B75" s="4" t="s">
        <v>101</v>
      </c>
      <c r="C75" s="4" t="s">
        <v>11</v>
      </c>
      <c r="D75" s="4" t="s">
        <v>37</v>
      </c>
      <c r="E75" s="4">
        <v>0.75</v>
      </c>
      <c r="F75" s="4">
        <v>0.4</v>
      </c>
      <c r="G75" s="4">
        <v>44.0</v>
      </c>
    </row>
    <row r="76" ht="14.25" customHeight="1">
      <c r="A76" s="4">
        <v>75.0</v>
      </c>
      <c r="B76" s="4" t="s">
        <v>102</v>
      </c>
      <c r="C76" s="4" t="s">
        <v>11</v>
      </c>
      <c r="D76" s="4" t="s">
        <v>37</v>
      </c>
      <c r="E76" s="4">
        <v>0.57</v>
      </c>
      <c r="F76" s="4">
        <v>0.3</v>
      </c>
      <c r="G76" s="4">
        <v>0.0</v>
      </c>
    </row>
    <row r="77" ht="14.25" customHeight="1">
      <c r="A77" s="4">
        <v>76.0</v>
      </c>
      <c r="B77" s="4" t="s">
        <v>103</v>
      </c>
      <c r="C77" s="4" t="s">
        <v>11</v>
      </c>
      <c r="D77" s="4" t="s">
        <v>37</v>
      </c>
      <c r="E77" s="4">
        <v>0.69</v>
      </c>
      <c r="F77" s="4">
        <v>0.24</v>
      </c>
      <c r="G77" s="4">
        <v>35.0</v>
      </c>
    </row>
    <row r="78" ht="14.25" customHeight="1">
      <c r="A78" s="4">
        <v>77.0</v>
      </c>
      <c r="B78" s="4" t="s">
        <v>104</v>
      </c>
      <c r="C78" s="4" t="s">
        <v>24</v>
      </c>
      <c r="D78" s="4" t="s">
        <v>25</v>
      </c>
      <c r="E78" s="4">
        <v>2.67</v>
      </c>
      <c r="F78" s="4">
        <v>1.52</v>
      </c>
      <c r="G78" s="4">
        <v>11.0</v>
      </c>
    </row>
    <row r="79" ht="14.25" customHeight="1">
      <c r="A79" s="4">
        <v>78.0</v>
      </c>
      <c r="B79" s="4" t="s">
        <v>105</v>
      </c>
      <c r="C79" s="4" t="s">
        <v>10</v>
      </c>
      <c r="D79" s="4" t="s">
        <v>37</v>
      </c>
      <c r="E79" s="4">
        <v>1.44</v>
      </c>
      <c r="F79" s="4">
        <v>0.49</v>
      </c>
      <c r="G79" s="4">
        <v>40.0</v>
      </c>
    </row>
    <row r="80" ht="14.25" customHeight="1">
      <c r="A80" s="4">
        <v>79.0</v>
      </c>
      <c r="B80" s="4" t="s">
        <v>106</v>
      </c>
      <c r="C80" s="4" t="s">
        <v>10</v>
      </c>
      <c r="D80" s="4" t="s">
        <v>37</v>
      </c>
      <c r="E80" s="4">
        <v>3.3</v>
      </c>
      <c r="F80" s="4">
        <v>1.39</v>
      </c>
      <c r="G80" s="4">
        <v>15.0</v>
      </c>
    </row>
    <row r="81" ht="14.25" customHeight="1">
      <c r="A81" s="4">
        <v>80.0</v>
      </c>
      <c r="B81" s="4" t="s">
        <v>107</v>
      </c>
      <c r="C81" s="4" t="s">
        <v>10</v>
      </c>
      <c r="D81" s="4" t="s">
        <v>37</v>
      </c>
      <c r="E81" s="4">
        <v>3.49</v>
      </c>
      <c r="F81" s="4">
        <v>1.85</v>
      </c>
      <c r="G81" s="4">
        <v>0.0</v>
      </c>
    </row>
    <row r="82" ht="14.25" customHeight="1">
      <c r="A82" s="4">
        <v>81.0</v>
      </c>
      <c r="B82" s="4" t="s">
        <v>108</v>
      </c>
      <c r="C82" s="4" t="s">
        <v>10</v>
      </c>
      <c r="D82" s="4" t="s">
        <v>37</v>
      </c>
      <c r="E82" s="4">
        <v>2.99</v>
      </c>
      <c r="F82" s="4">
        <v>1.7</v>
      </c>
      <c r="G82" s="4">
        <v>40.0</v>
      </c>
    </row>
    <row r="83" ht="14.25" customHeight="1">
      <c r="A83" s="4">
        <v>82.0</v>
      </c>
      <c r="B83" s="4" t="s">
        <v>109</v>
      </c>
      <c r="C83" s="4" t="s">
        <v>10</v>
      </c>
      <c r="D83" s="4" t="s">
        <v>37</v>
      </c>
      <c r="E83" s="4">
        <v>3.08</v>
      </c>
      <c r="F83" s="4">
        <v>1.29</v>
      </c>
      <c r="G83" s="4">
        <v>22.0</v>
      </c>
    </row>
    <row r="84" ht="14.25" customHeight="1">
      <c r="A84" s="4">
        <v>83.0</v>
      </c>
      <c r="B84" s="4" t="s">
        <v>110</v>
      </c>
      <c r="C84" s="4" t="s">
        <v>11</v>
      </c>
      <c r="D84" s="4" t="s">
        <v>37</v>
      </c>
      <c r="E84" s="4">
        <v>0.39</v>
      </c>
      <c r="F84" s="4">
        <v>0.22</v>
      </c>
      <c r="G84" s="4">
        <v>30.0</v>
      </c>
    </row>
    <row r="85" ht="14.25" customHeight="1">
      <c r="A85" s="4">
        <v>84.0</v>
      </c>
      <c r="B85" s="4" t="s">
        <v>111</v>
      </c>
      <c r="C85" s="4" t="s">
        <v>10</v>
      </c>
      <c r="D85" s="4" t="s">
        <v>25</v>
      </c>
      <c r="E85" s="4">
        <v>2.59</v>
      </c>
      <c r="F85" s="4">
        <v>1.22</v>
      </c>
      <c r="G85" s="4">
        <v>2.0</v>
      </c>
    </row>
    <row r="86" ht="14.25" customHeight="1">
      <c r="A86" s="4">
        <v>85.0</v>
      </c>
      <c r="B86" s="4" t="s">
        <v>112</v>
      </c>
      <c r="C86" s="4" t="s">
        <v>16</v>
      </c>
      <c r="D86" s="4" t="s">
        <v>39</v>
      </c>
      <c r="E86" s="4">
        <v>0.08</v>
      </c>
      <c r="F86" s="4">
        <v>0.04</v>
      </c>
      <c r="G86" s="4">
        <v>36.0</v>
      </c>
    </row>
    <row r="87" ht="14.25" customHeight="1"/>
    <row r="88" ht="14.25" customHeight="1"/>
    <row r="89" ht="14.25" customHeight="1">
      <c r="F89" s="4">
        <f>AVERAGE(F2:F86)</f>
        <v>1.167764706</v>
      </c>
    </row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0"/>
  <cols>
    <col customWidth="1" min="4" max="4" width="9.86"/>
    <col customWidth="1" min="9" max="9" width="6.71"/>
  </cols>
  <sheetData>
    <row r="1">
      <c r="A1" s="9" t="s">
        <v>113</v>
      </c>
      <c r="F1" s="9" t="s">
        <v>114</v>
      </c>
      <c r="G1" s="10"/>
      <c r="H1" s="10"/>
      <c r="I1" s="10"/>
    </row>
    <row r="2">
      <c r="A2" s="11"/>
    </row>
    <row r="4">
      <c r="A4" s="12" t="s">
        <v>2</v>
      </c>
      <c r="B4" s="12" t="s">
        <v>3</v>
      </c>
      <c r="F4" s="2" t="s">
        <v>6</v>
      </c>
      <c r="G4" s="2" t="s">
        <v>7</v>
      </c>
    </row>
    <row r="5">
      <c r="A5" s="13">
        <v>3.0</v>
      </c>
      <c r="B5" s="14" t="str">
        <f>VLOOKUP(A5,inventory,3,true)</f>
        <v>produce</v>
      </c>
      <c r="F5" s="4" t="str">
        <f>IFERROR(__xludf.DUMMYFUNCTION("UNIQUE(B5:B598)"),"produce")</f>
        <v>produce</v>
      </c>
      <c r="G5" s="4">
        <f t="shared" ref="G5:G14" si="1">COUNTIF(B5:B598,F5)</f>
        <v>168</v>
      </c>
    </row>
    <row r="6">
      <c r="A6" s="13">
        <v>61.0</v>
      </c>
      <c r="B6" s="14" t="str">
        <f>VLOOKUP(A6,inventory,3,true)</f>
        <v>produce</v>
      </c>
      <c r="F6" s="4" t="str">
        <f>IFERROR(__xludf.DUMMYFUNCTION("""COMPUTED_VALUE"""),"dry_goods")</f>
        <v>dry_goods</v>
      </c>
      <c r="G6" s="4">
        <f t="shared" si="1"/>
        <v>130</v>
      </c>
    </row>
    <row r="7">
      <c r="A7" s="13">
        <v>23.0</v>
      </c>
      <c r="B7" s="15" t="str">
        <f>VLOOKUP(A7,inventory,3,true)</f>
        <v>dry_goods</v>
      </c>
      <c r="F7" s="4" t="str">
        <f>IFERROR(__xludf.DUMMYFUNCTION("""COMPUTED_VALUE"""),"dairy")</f>
        <v>dairy</v>
      </c>
      <c r="G7" s="4">
        <f t="shared" si="1"/>
        <v>74</v>
      </c>
    </row>
    <row r="8">
      <c r="A8" s="13">
        <v>52.0</v>
      </c>
      <c r="B8" s="14" t="str">
        <f>VLOOKUP(A8,inventory,3,true)</f>
        <v>dairy</v>
      </c>
      <c r="F8" s="4" t="str">
        <f>IFERROR(__xludf.DUMMYFUNCTION("""COMPUTED_VALUE"""),"snacks")</f>
        <v>snacks</v>
      </c>
      <c r="G8" s="4">
        <f t="shared" si="1"/>
        <v>86</v>
      </c>
    </row>
    <row r="9">
      <c r="A9" s="13">
        <v>4.0</v>
      </c>
      <c r="B9" s="14" t="str">
        <f>VLOOKUP(A9,inventory,3,true)</f>
        <v>produce</v>
      </c>
      <c r="F9" s="4" t="str">
        <f>IFERROR(__xludf.DUMMYFUNCTION("""COMPUTED_VALUE"""),"frozen")</f>
        <v>frozen</v>
      </c>
      <c r="G9" s="4">
        <f t="shared" si="1"/>
        <v>56</v>
      </c>
    </row>
    <row r="10">
      <c r="A10" s="13">
        <v>76.0</v>
      </c>
      <c r="B10" s="14" t="str">
        <f>VLOOKUP(A10,inventory,3,true)</f>
        <v>snacks</v>
      </c>
      <c r="F10" s="4" t="str">
        <f>IFERROR(__xludf.DUMMYFUNCTION("""COMPUTED_VALUE"""),"other")</f>
        <v>other</v>
      </c>
      <c r="G10" s="4">
        <f t="shared" si="1"/>
        <v>19</v>
      </c>
    </row>
    <row r="11">
      <c r="A11" s="13">
        <v>45.0</v>
      </c>
      <c r="B11" s="14" t="str">
        <f>VLOOKUP(A11,inventory,3,true)</f>
        <v>frozen</v>
      </c>
      <c r="F11" s="4" t="str">
        <f>IFERROR(__xludf.DUMMYFUNCTION("""COMPUTED_VALUE"""),"meat")</f>
        <v>meat</v>
      </c>
      <c r="G11" s="4">
        <f t="shared" si="1"/>
        <v>14</v>
      </c>
    </row>
    <row r="12">
      <c r="A12" s="13">
        <v>17.0</v>
      </c>
      <c r="B12" s="14" t="str">
        <f>VLOOKUP(A12,inventory,3,true)</f>
        <v>other</v>
      </c>
      <c r="F12" s="4" t="str">
        <f>IFERROR(__xludf.DUMMYFUNCTION("""COMPUTED_VALUE"""),"canned_jarred_goods")</f>
        <v>canned_jarred_goods</v>
      </c>
      <c r="G12" s="4">
        <f t="shared" si="1"/>
        <v>22</v>
      </c>
    </row>
    <row r="13">
      <c r="A13" s="13">
        <v>31.0</v>
      </c>
      <c r="B13" s="14" t="str">
        <f>VLOOKUP(A13,inventory,3,true)</f>
        <v>snacks</v>
      </c>
      <c r="F13" s="4" t="str">
        <f>IFERROR(__xludf.DUMMYFUNCTION("""COMPUTED_VALUE"""),"beverages")</f>
        <v>beverages</v>
      </c>
      <c r="G13" s="4">
        <f t="shared" si="1"/>
        <v>19</v>
      </c>
    </row>
    <row r="14">
      <c r="A14" s="13">
        <v>21.0</v>
      </c>
      <c r="B14" s="14" t="str">
        <f>VLOOKUP(A14,inventory,3,true)</f>
        <v>snacks</v>
      </c>
      <c r="F14" s="4" t="str">
        <f>IFERROR(__xludf.DUMMYFUNCTION("""COMPUTED_VALUE"""),"bread")</f>
        <v>bread</v>
      </c>
      <c r="G14" s="4">
        <f t="shared" si="1"/>
        <v>6</v>
      </c>
    </row>
    <row r="15">
      <c r="A15" s="13">
        <v>47.0</v>
      </c>
      <c r="B15" s="14" t="str">
        <f>VLOOKUP(A15,inventory,3,true)</f>
        <v>dairy</v>
      </c>
    </row>
    <row r="16">
      <c r="A16" s="13">
        <v>44.0</v>
      </c>
      <c r="B16" s="14" t="str">
        <f>VLOOKUP(A16,inventory,3,true)</f>
        <v>frozen</v>
      </c>
    </row>
    <row r="17">
      <c r="A17" s="13">
        <v>8.0</v>
      </c>
      <c r="B17" s="14" t="str">
        <f>VLOOKUP(A17,inventory,3,true)</f>
        <v>produce</v>
      </c>
    </row>
    <row r="18">
      <c r="A18" s="13">
        <v>60.0</v>
      </c>
      <c r="B18" s="14" t="str">
        <f>VLOOKUP(A18,inventory,3,true)</f>
        <v>produce</v>
      </c>
    </row>
    <row r="19">
      <c r="A19" s="13">
        <v>38.0</v>
      </c>
      <c r="B19" s="14" t="str">
        <f>VLOOKUP(A19,inventory,3,true)</f>
        <v>frozen</v>
      </c>
    </row>
    <row r="20">
      <c r="A20" s="13">
        <v>64.0</v>
      </c>
      <c r="B20" s="14" t="str">
        <f>VLOOKUP(A20,inventory,3,true)</f>
        <v>produce</v>
      </c>
    </row>
    <row r="21">
      <c r="A21" s="13">
        <v>12.0</v>
      </c>
      <c r="B21" s="14" t="str">
        <f>VLOOKUP(A21,inventory,3,true)</f>
        <v>dairy</v>
      </c>
    </row>
    <row r="22">
      <c r="A22" s="13">
        <v>14.0</v>
      </c>
      <c r="B22" s="14" t="str">
        <f>VLOOKUP(A22,inventory,3,true)</f>
        <v>snacks</v>
      </c>
    </row>
    <row r="23">
      <c r="A23" s="13">
        <v>17.0</v>
      </c>
      <c r="B23" s="14" t="str">
        <f>VLOOKUP(A23,inventory,3,true)</f>
        <v>other</v>
      </c>
    </row>
    <row r="24">
      <c r="A24" s="13">
        <v>70.0</v>
      </c>
      <c r="B24" s="14" t="str">
        <f>VLOOKUP(A24,inventory,3,true)</f>
        <v>dry_goods</v>
      </c>
    </row>
    <row r="25">
      <c r="A25" s="13">
        <v>10.0</v>
      </c>
      <c r="B25" s="14" t="str">
        <f>VLOOKUP(A25,inventory,3,true)</f>
        <v>produce</v>
      </c>
    </row>
    <row r="26">
      <c r="A26" s="13">
        <v>18.0</v>
      </c>
      <c r="B26" s="14" t="str">
        <f>VLOOKUP(A26,inventory,3,true)</f>
        <v>dry_goods</v>
      </c>
    </row>
    <row r="27">
      <c r="A27" s="13">
        <v>77.0</v>
      </c>
      <c r="B27" s="14" t="str">
        <f>VLOOKUP(A27,inventory,3,true)</f>
        <v>produce</v>
      </c>
    </row>
    <row r="28">
      <c r="A28" s="13">
        <v>25.0</v>
      </c>
      <c r="B28" s="14" t="str">
        <f>VLOOKUP(A28,inventory,3,true)</f>
        <v>meat</v>
      </c>
    </row>
    <row r="29">
      <c r="A29" s="13">
        <v>47.0</v>
      </c>
      <c r="B29" s="14" t="str">
        <f>VLOOKUP(A29,inventory,3,true)</f>
        <v>dairy</v>
      </c>
    </row>
    <row r="30">
      <c r="A30" s="13">
        <v>36.0</v>
      </c>
      <c r="B30" s="16" t="str">
        <f>VLOOKUP(A30,inventory,3,true)</f>
        <v>canned_jarred_goods</v>
      </c>
    </row>
    <row r="31">
      <c r="A31" s="13">
        <v>10.0</v>
      </c>
      <c r="B31" s="14" t="str">
        <f>VLOOKUP(A31,inventory,3,true)</f>
        <v>produce</v>
      </c>
    </row>
    <row r="32">
      <c r="A32" s="13">
        <v>66.0</v>
      </c>
      <c r="B32" s="14" t="str">
        <f>VLOOKUP(A32,inventory,3,true)</f>
        <v>produce</v>
      </c>
    </row>
    <row r="33">
      <c r="A33" s="13">
        <v>21.0</v>
      </c>
      <c r="B33" s="14" t="str">
        <f>VLOOKUP(A33,inventory,3,true)</f>
        <v>snacks</v>
      </c>
    </row>
    <row r="34">
      <c r="A34" s="13">
        <v>42.0</v>
      </c>
      <c r="B34" s="14" t="str">
        <f>VLOOKUP(A34,inventory,3,true)</f>
        <v>produce</v>
      </c>
    </row>
    <row r="35">
      <c r="A35" s="13">
        <v>56.0</v>
      </c>
      <c r="B35" s="14" t="str">
        <f>VLOOKUP(A35,inventory,3,true)</f>
        <v>dry_goods</v>
      </c>
    </row>
    <row r="36">
      <c r="A36" s="13">
        <v>29.0</v>
      </c>
      <c r="B36" s="14" t="str">
        <f>VLOOKUP(A36,inventory,3,true)</f>
        <v>dairy</v>
      </c>
    </row>
    <row r="37">
      <c r="A37" s="13">
        <v>36.0</v>
      </c>
      <c r="B37" s="16" t="str">
        <f>VLOOKUP(A37,inventory,3,true)</f>
        <v>canned_jarred_goods</v>
      </c>
    </row>
    <row r="38">
      <c r="A38" s="13">
        <v>41.0</v>
      </c>
      <c r="B38" s="14" t="str">
        <f>VLOOKUP(A38,inventory,3,true)</f>
        <v>frozen</v>
      </c>
    </row>
    <row r="39">
      <c r="A39" s="13">
        <v>22.0</v>
      </c>
      <c r="B39" s="14" t="str">
        <f>VLOOKUP(A39,inventory,3,true)</f>
        <v>meat</v>
      </c>
    </row>
    <row r="40">
      <c r="A40" s="13">
        <v>73.0</v>
      </c>
      <c r="B40" s="14" t="str">
        <f>VLOOKUP(A40,inventory,3,true)</f>
        <v>snacks</v>
      </c>
    </row>
    <row r="41">
      <c r="A41" s="13">
        <v>41.0</v>
      </c>
      <c r="B41" s="14" t="str">
        <f>VLOOKUP(A41,inventory,3,true)</f>
        <v>frozen</v>
      </c>
    </row>
    <row r="42">
      <c r="A42" s="13">
        <v>76.0</v>
      </c>
      <c r="B42" s="14" t="str">
        <f>VLOOKUP(A42,inventory,3,true)</f>
        <v>snacks</v>
      </c>
    </row>
    <row r="43">
      <c r="A43" s="13">
        <v>71.0</v>
      </c>
      <c r="B43" s="14" t="str">
        <f>VLOOKUP(A43,inventory,3,true)</f>
        <v>dry_goods</v>
      </c>
    </row>
    <row r="44">
      <c r="A44" s="13">
        <v>6.0</v>
      </c>
      <c r="B44" s="14" t="str">
        <f>VLOOKUP(A44,inventory,3,true)</f>
        <v>produce</v>
      </c>
    </row>
    <row r="45">
      <c r="A45" s="13">
        <v>6.0</v>
      </c>
      <c r="B45" s="14" t="str">
        <f>VLOOKUP(A45,inventory,3,true)</f>
        <v>produce</v>
      </c>
    </row>
    <row r="46">
      <c r="A46" s="13">
        <v>29.0</v>
      </c>
      <c r="B46" s="14" t="str">
        <f>VLOOKUP(A46,inventory,3,true)</f>
        <v>dairy</v>
      </c>
    </row>
    <row r="47">
      <c r="A47" s="13">
        <v>10.0</v>
      </c>
      <c r="B47" s="14" t="str">
        <f>VLOOKUP(A47,inventory,3,true)</f>
        <v>produce</v>
      </c>
    </row>
    <row r="48">
      <c r="A48" s="13">
        <v>47.0</v>
      </c>
      <c r="B48" s="14" t="str">
        <f>VLOOKUP(A48,inventory,3,true)</f>
        <v>dairy</v>
      </c>
    </row>
    <row r="49">
      <c r="A49" s="13">
        <v>68.0</v>
      </c>
      <c r="B49" s="14" t="str">
        <f>VLOOKUP(A49,inventory,3,true)</f>
        <v>produce</v>
      </c>
    </row>
    <row r="50">
      <c r="A50" s="13">
        <v>52.0</v>
      </c>
      <c r="B50" s="14" t="str">
        <f>VLOOKUP(A50,inventory,3,true)</f>
        <v>dairy</v>
      </c>
    </row>
    <row r="51">
      <c r="A51" s="13">
        <v>41.0</v>
      </c>
      <c r="B51" s="14" t="str">
        <f>VLOOKUP(A51,inventory,3,true)</f>
        <v>frozen</v>
      </c>
    </row>
    <row r="52">
      <c r="A52" s="13">
        <v>14.0</v>
      </c>
      <c r="B52" s="14" t="str">
        <f>VLOOKUP(A52,inventory,3,true)</f>
        <v>snacks</v>
      </c>
    </row>
    <row r="53">
      <c r="A53" s="13">
        <v>27.0</v>
      </c>
      <c r="B53" s="14" t="str">
        <f>VLOOKUP(A53,inventory,3,true)</f>
        <v>other</v>
      </c>
    </row>
    <row r="54">
      <c r="A54" s="13">
        <v>67.0</v>
      </c>
      <c r="B54" s="14" t="str">
        <f>VLOOKUP(A54,inventory,3,true)</f>
        <v>dry_goods</v>
      </c>
    </row>
    <row r="55">
      <c r="A55" s="13">
        <v>13.0</v>
      </c>
      <c r="B55" s="14" t="str">
        <f>VLOOKUP(A55,inventory,3,true)</f>
        <v>beverages</v>
      </c>
    </row>
    <row r="56">
      <c r="A56" s="13">
        <v>55.0</v>
      </c>
      <c r="B56" s="14" t="str">
        <f>VLOOKUP(A56,inventory,3,true)</f>
        <v>dairy</v>
      </c>
    </row>
    <row r="57">
      <c r="A57" s="13">
        <v>69.0</v>
      </c>
      <c r="B57" s="14" t="str">
        <f>VLOOKUP(A57,inventory,3,true)</f>
        <v>dry_goods</v>
      </c>
    </row>
    <row r="58">
      <c r="A58" s="13">
        <v>54.0</v>
      </c>
      <c r="B58" s="14" t="str">
        <f>VLOOKUP(A58,inventory,3,true)</f>
        <v>dairy</v>
      </c>
    </row>
    <row r="59">
      <c r="A59" s="13">
        <v>3.0</v>
      </c>
      <c r="B59" s="14" t="str">
        <f>VLOOKUP(A59,inventory,3,true)</f>
        <v>produce</v>
      </c>
    </row>
    <row r="60">
      <c r="A60" s="13">
        <v>83.0</v>
      </c>
      <c r="B60" s="14" t="str">
        <f>VLOOKUP(A60,inventory,3,true)</f>
        <v>snacks</v>
      </c>
    </row>
    <row r="61">
      <c r="A61" s="13">
        <v>26.0</v>
      </c>
      <c r="B61" s="14" t="str">
        <f>VLOOKUP(A61,inventory,3,true)</f>
        <v>beverages</v>
      </c>
    </row>
    <row r="62">
      <c r="A62" s="13">
        <v>22.0</v>
      </c>
      <c r="B62" s="14" t="str">
        <f>VLOOKUP(A62,inventory,3,true)</f>
        <v>meat</v>
      </c>
    </row>
    <row r="63">
      <c r="A63" s="13">
        <v>5.0</v>
      </c>
      <c r="B63" s="14" t="str">
        <f>VLOOKUP(A63,inventory,3,true)</f>
        <v>produce</v>
      </c>
    </row>
    <row r="64">
      <c r="A64" s="13">
        <v>32.0</v>
      </c>
      <c r="B64" s="14" t="str">
        <f>VLOOKUP(A64,inventory,3,true)</f>
        <v>produce</v>
      </c>
    </row>
    <row r="65">
      <c r="A65" s="13">
        <v>47.0</v>
      </c>
      <c r="B65" s="14" t="str">
        <f>VLOOKUP(A65,inventory,3,true)</f>
        <v>dairy</v>
      </c>
    </row>
    <row r="66">
      <c r="A66" s="13">
        <v>51.0</v>
      </c>
      <c r="B66" s="14" t="str">
        <f>VLOOKUP(A66,inventory,3,true)</f>
        <v>dairy</v>
      </c>
    </row>
    <row r="67">
      <c r="A67" s="13">
        <v>40.0</v>
      </c>
      <c r="B67" s="14" t="str">
        <f>VLOOKUP(A67,inventory,3,true)</f>
        <v>frozen</v>
      </c>
    </row>
    <row r="68">
      <c r="A68" s="13">
        <v>48.0</v>
      </c>
      <c r="B68" s="14" t="str">
        <f>VLOOKUP(A68,inventory,3,true)</f>
        <v>dry_goods</v>
      </c>
    </row>
    <row r="69">
      <c r="A69" s="13">
        <v>28.0</v>
      </c>
      <c r="B69" s="14" t="str">
        <f>VLOOKUP(A69,inventory,3,true)</f>
        <v>dry_goods</v>
      </c>
    </row>
    <row r="70">
      <c r="A70" s="13">
        <v>68.0</v>
      </c>
      <c r="B70" s="14" t="str">
        <f>VLOOKUP(A70,inventory,3,true)</f>
        <v>produce</v>
      </c>
    </row>
    <row r="71">
      <c r="A71" s="13">
        <v>3.0</v>
      </c>
      <c r="B71" s="14" t="str">
        <f>VLOOKUP(A71,inventory,3,true)</f>
        <v>produce</v>
      </c>
    </row>
    <row r="72">
      <c r="A72" s="13">
        <v>65.0</v>
      </c>
      <c r="B72" s="14" t="str">
        <f>VLOOKUP(A72,inventory,3,true)</f>
        <v>produce</v>
      </c>
    </row>
    <row r="73">
      <c r="A73" s="13">
        <v>7.0</v>
      </c>
      <c r="B73" s="14" t="str">
        <f>VLOOKUP(A73,inventory,3,true)</f>
        <v>produce</v>
      </c>
    </row>
    <row r="74">
      <c r="A74" s="13">
        <v>67.0</v>
      </c>
      <c r="B74" s="14" t="str">
        <f>VLOOKUP(A74,inventory,3,true)</f>
        <v>dry_goods</v>
      </c>
    </row>
    <row r="75">
      <c r="A75" s="13">
        <v>7.0</v>
      </c>
      <c r="B75" s="14" t="str">
        <f>VLOOKUP(A75,inventory,3,true)</f>
        <v>produce</v>
      </c>
    </row>
    <row r="76">
      <c r="A76" s="13">
        <v>3.0</v>
      </c>
      <c r="B76" s="14" t="str">
        <f>VLOOKUP(A76,inventory,3,true)</f>
        <v>produce</v>
      </c>
    </row>
    <row r="77">
      <c r="A77" s="13">
        <v>72.0</v>
      </c>
      <c r="B77" s="14" t="str">
        <f>VLOOKUP(A77,inventory,3,true)</f>
        <v>dry_goods</v>
      </c>
    </row>
    <row r="78">
      <c r="A78" s="13">
        <v>84.0</v>
      </c>
      <c r="B78" s="14" t="str">
        <f>VLOOKUP(A78,inventory,3,true)</f>
        <v>dry_goods</v>
      </c>
    </row>
    <row r="79">
      <c r="A79" s="13">
        <v>65.0</v>
      </c>
      <c r="B79" s="14" t="str">
        <f>VLOOKUP(A79,inventory,3,true)</f>
        <v>produce</v>
      </c>
    </row>
    <row r="80">
      <c r="A80" s="13">
        <v>14.0</v>
      </c>
      <c r="B80" s="14" t="str">
        <f>VLOOKUP(A80,inventory,3,true)</f>
        <v>snacks</v>
      </c>
    </row>
    <row r="81">
      <c r="A81" s="13">
        <v>44.0</v>
      </c>
      <c r="B81" s="14" t="str">
        <f>VLOOKUP(A81,inventory,3,true)</f>
        <v>frozen</v>
      </c>
    </row>
    <row r="82">
      <c r="A82" s="13">
        <v>59.0</v>
      </c>
      <c r="B82" s="14" t="str">
        <f>VLOOKUP(A82,inventory,3,true)</f>
        <v>produce</v>
      </c>
    </row>
    <row r="83">
      <c r="A83" s="13">
        <v>63.0</v>
      </c>
      <c r="B83" s="14" t="str">
        <f>VLOOKUP(A83,inventory,3,true)</f>
        <v>produce</v>
      </c>
    </row>
    <row r="84">
      <c r="A84" s="13">
        <v>52.0</v>
      </c>
      <c r="B84" s="14" t="str">
        <f>VLOOKUP(A84,inventory,3,true)</f>
        <v>dairy</v>
      </c>
    </row>
    <row r="85">
      <c r="A85" s="13">
        <v>19.0</v>
      </c>
      <c r="B85" s="14" t="str">
        <f>VLOOKUP(A85,inventory,3,true)</f>
        <v>snacks</v>
      </c>
    </row>
    <row r="86">
      <c r="A86" s="13">
        <v>8.0</v>
      </c>
      <c r="B86" s="14" t="str">
        <f>VLOOKUP(A86,inventory,3,true)</f>
        <v>produce</v>
      </c>
    </row>
    <row r="87">
      <c r="A87" s="13">
        <v>69.0</v>
      </c>
      <c r="B87" s="14" t="str">
        <f>VLOOKUP(A87,inventory,3,true)</f>
        <v>dry_goods</v>
      </c>
    </row>
    <row r="88">
      <c r="A88" s="13">
        <v>66.0</v>
      </c>
      <c r="B88" s="14" t="str">
        <f>VLOOKUP(A88,inventory,3,true)</f>
        <v>produce</v>
      </c>
    </row>
    <row r="89">
      <c r="A89" s="13">
        <v>24.0</v>
      </c>
      <c r="B89" s="14" t="str">
        <f>VLOOKUP(A89,inventory,3,true)</f>
        <v>dry_goods</v>
      </c>
    </row>
    <row r="90">
      <c r="A90" s="13">
        <v>7.0</v>
      </c>
      <c r="B90" s="14" t="str">
        <f>VLOOKUP(A90,inventory,3,true)</f>
        <v>produce</v>
      </c>
    </row>
    <row r="91">
      <c r="A91" s="13">
        <v>1.0</v>
      </c>
      <c r="B91" s="14" t="str">
        <f>VLOOKUP(A91,inventory,3,true)</f>
        <v>produce</v>
      </c>
    </row>
    <row r="92">
      <c r="A92" s="13">
        <v>17.0</v>
      </c>
      <c r="B92" s="14" t="str">
        <f>VLOOKUP(A92,inventory,3,true)</f>
        <v>other</v>
      </c>
    </row>
    <row r="93">
      <c r="A93" s="13">
        <v>52.0</v>
      </c>
      <c r="B93" s="14" t="str">
        <f>VLOOKUP(A93,inventory,3,true)</f>
        <v>dairy</v>
      </c>
    </row>
    <row r="94">
      <c r="A94" s="13">
        <v>61.0</v>
      </c>
      <c r="B94" s="14" t="str">
        <f>VLOOKUP(A94,inventory,3,true)</f>
        <v>produce</v>
      </c>
    </row>
    <row r="95">
      <c r="A95" s="13">
        <v>62.0</v>
      </c>
      <c r="B95" s="14" t="str">
        <f>VLOOKUP(A95,inventory,3,true)</f>
        <v>dry_goods</v>
      </c>
    </row>
    <row r="96">
      <c r="A96" s="13">
        <v>77.0</v>
      </c>
      <c r="B96" s="14" t="str">
        <f>VLOOKUP(A96,inventory,3,true)</f>
        <v>produce</v>
      </c>
    </row>
    <row r="97">
      <c r="A97" s="13">
        <v>2.0</v>
      </c>
      <c r="B97" s="14" t="str">
        <f>VLOOKUP(A97,inventory,3,true)</f>
        <v>produce</v>
      </c>
    </row>
    <row r="98">
      <c r="A98" s="13">
        <v>41.0</v>
      </c>
      <c r="B98" s="14" t="str">
        <f>VLOOKUP(A98,inventory,3,true)</f>
        <v>frozen</v>
      </c>
    </row>
    <row r="99">
      <c r="A99" s="13">
        <v>56.0</v>
      </c>
      <c r="B99" s="14" t="str">
        <f>VLOOKUP(A99,inventory,3,true)</f>
        <v>dry_goods</v>
      </c>
    </row>
    <row r="100">
      <c r="A100" s="13">
        <v>75.0</v>
      </c>
      <c r="B100" s="14" t="str">
        <f>VLOOKUP(A100,inventory,3,true)</f>
        <v>snacks</v>
      </c>
    </row>
    <row r="101">
      <c r="A101" s="13">
        <v>75.0</v>
      </c>
      <c r="B101" s="14" t="str">
        <f>VLOOKUP(A101,inventory,3,true)</f>
        <v>snacks</v>
      </c>
    </row>
    <row r="102">
      <c r="A102" s="13">
        <v>40.0</v>
      </c>
      <c r="B102" s="14" t="str">
        <f>VLOOKUP(A102,inventory,3,true)</f>
        <v>frozen</v>
      </c>
    </row>
    <row r="103">
      <c r="A103" s="13">
        <v>39.0</v>
      </c>
      <c r="B103" s="14" t="str">
        <f>VLOOKUP(A103,inventory,3,true)</f>
        <v>snacks</v>
      </c>
    </row>
    <row r="104">
      <c r="A104" s="13">
        <v>51.0</v>
      </c>
      <c r="B104" s="14" t="str">
        <f>VLOOKUP(A104,inventory,3,true)</f>
        <v>dairy</v>
      </c>
    </row>
    <row r="105">
      <c r="A105" s="13">
        <v>52.0</v>
      </c>
      <c r="B105" s="14" t="str">
        <f>VLOOKUP(A105,inventory,3,true)</f>
        <v>dairy</v>
      </c>
    </row>
    <row r="106">
      <c r="A106" s="13">
        <v>63.0</v>
      </c>
      <c r="B106" s="14" t="str">
        <f>VLOOKUP(A106,inventory,3,true)</f>
        <v>produce</v>
      </c>
    </row>
    <row r="107">
      <c r="A107" s="13">
        <v>43.0</v>
      </c>
      <c r="B107" s="14" t="str">
        <f>VLOOKUP(A107,inventory,3,true)</f>
        <v>bread</v>
      </c>
    </row>
    <row r="108">
      <c r="A108" s="13">
        <v>28.0</v>
      </c>
      <c r="B108" s="14" t="str">
        <f>VLOOKUP(A108,inventory,3,true)</f>
        <v>dry_goods</v>
      </c>
    </row>
    <row r="109">
      <c r="A109" s="13">
        <v>30.0</v>
      </c>
      <c r="B109" s="14" t="str">
        <f>VLOOKUP(A109,inventory,3,true)</f>
        <v>dairy</v>
      </c>
    </row>
    <row r="110">
      <c r="A110" s="13">
        <v>23.0</v>
      </c>
      <c r="B110" s="14" t="str">
        <f>VLOOKUP(A110,inventory,3,true)</f>
        <v>dry_goods</v>
      </c>
    </row>
    <row r="111">
      <c r="A111" s="13">
        <v>18.0</v>
      </c>
      <c r="B111" s="14" t="str">
        <f>VLOOKUP(A111,inventory,3,true)</f>
        <v>dry_goods</v>
      </c>
    </row>
    <row r="112">
      <c r="A112" s="13">
        <v>20.0</v>
      </c>
      <c r="B112" s="14" t="str">
        <f>VLOOKUP(A112,inventory,3,true)</f>
        <v>snacks</v>
      </c>
    </row>
    <row r="113">
      <c r="A113" s="13">
        <v>67.0</v>
      </c>
      <c r="B113" s="14" t="str">
        <f>VLOOKUP(A113,inventory,3,true)</f>
        <v>dry_goods</v>
      </c>
    </row>
    <row r="114">
      <c r="A114" s="13">
        <v>53.0</v>
      </c>
      <c r="B114" s="14" t="str">
        <f>VLOOKUP(A114,inventory,3,true)</f>
        <v>dairy</v>
      </c>
    </row>
    <row r="115">
      <c r="A115" s="13">
        <v>56.0</v>
      </c>
      <c r="B115" s="14" t="str">
        <f>VLOOKUP(A115,inventory,3,true)</f>
        <v>dry_goods</v>
      </c>
    </row>
    <row r="116">
      <c r="A116" s="13">
        <v>80.0</v>
      </c>
      <c r="B116" s="14" t="str">
        <f>VLOOKUP(A116,inventory,3,true)</f>
        <v>dry_goods</v>
      </c>
    </row>
    <row r="117">
      <c r="A117" s="13">
        <v>50.0</v>
      </c>
      <c r="B117" s="14" t="str">
        <f>VLOOKUP(A117,inventory,3,true)</f>
        <v>dairy</v>
      </c>
    </row>
    <row r="118">
      <c r="A118" s="13">
        <v>13.0</v>
      </c>
      <c r="B118" s="14" t="str">
        <f>VLOOKUP(A118,inventory,3,true)</f>
        <v>beverages</v>
      </c>
    </row>
    <row r="119">
      <c r="A119" s="13">
        <v>44.0</v>
      </c>
      <c r="B119" s="14" t="str">
        <f>VLOOKUP(A119,inventory,3,true)</f>
        <v>frozen</v>
      </c>
    </row>
    <row r="120">
      <c r="A120" s="13">
        <v>61.0</v>
      </c>
      <c r="B120" s="14" t="str">
        <f>VLOOKUP(A120,inventory,3,true)</f>
        <v>produce</v>
      </c>
    </row>
    <row r="121">
      <c r="A121" s="13">
        <v>33.0</v>
      </c>
      <c r="B121" s="16" t="str">
        <f>VLOOKUP(A121,inventory,3,true)</f>
        <v>canned_jarred_goods</v>
      </c>
    </row>
    <row r="122">
      <c r="A122" s="13">
        <v>36.0</v>
      </c>
      <c r="B122" s="16" t="str">
        <f>VLOOKUP(A122,inventory,3,true)</f>
        <v>canned_jarred_goods</v>
      </c>
    </row>
    <row r="123">
      <c r="A123" s="13">
        <v>29.0</v>
      </c>
      <c r="B123" s="14" t="str">
        <f>VLOOKUP(A123,inventory,3,true)</f>
        <v>dairy</v>
      </c>
    </row>
    <row r="124">
      <c r="A124" s="13">
        <v>20.0</v>
      </c>
      <c r="B124" s="14" t="str">
        <f>VLOOKUP(A124,inventory,3,true)</f>
        <v>snacks</v>
      </c>
    </row>
    <row r="125">
      <c r="A125" s="13">
        <v>79.0</v>
      </c>
      <c r="B125" s="14" t="str">
        <f>VLOOKUP(A125,inventory,3,true)</f>
        <v>dry_goods</v>
      </c>
    </row>
    <row r="126">
      <c r="A126" s="13">
        <v>8.0</v>
      </c>
      <c r="B126" s="14" t="str">
        <f>VLOOKUP(A126,inventory,3,true)</f>
        <v>produce</v>
      </c>
    </row>
    <row r="127">
      <c r="A127" s="13">
        <v>76.0</v>
      </c>
      <c r="B127" s="14" t="str">
        <f>VLOOKUP(A127,inventory,3,true)</f>
        <v>snacks</v>
      </c>
    </row>
    <row r="128">
      <c r="A128" s="13">
        <v>62.0</v>
      </c>
      <c r="B128" s="14" t="str">
        <f>VLOOKUP(A128,inventory,3,true)</f>
        <v>dry_goods</v>
      </c>
    </row>
    <row r="129">
      <c r="A129" s="13">
        <v>70.0</v>
      </c>
      <c r="B129" s="14" t="str">
        <f>VLOOKUP(A129,inventory,3,true)</f>
        <v>dry_goods</v>
      </c>
    </row>
    <row r="130">
      <c r="A130" s="13">
        <v>81.0</v>
      </c>
      <c r="B130" s="14" t="str">
        <f>VLOOKUP(A130,inventory,3,true)</f>
        <v>dry_goods</v>
      </c>
    </row>
    <row r="131">
      <c r="A131" s="13">
        <v>64.0</v>
      </c>
      <c r="B131" s="14" t="str">
        <f>VLOOKUP(A131,inventory,3,true)</f>
        <v>produce</v>
      </c>
    </row>
    <row r="132">
      <c r="A132" s="13">
        <v>11.0</v>
      </c>
      <c r="B132" s="14" t="str">
        <f>VLOOKUP(A132,inventory,3,true)</f>
        <v>produce</v>
      </c>
    </row>
    <row r="133">
      <c r="A133" s="13">
        <v>79.0</v>
      </c>
      <c r="B133" s="14" t="str">
        <f>VLOOKUP(A133,inventory,3,true)</f>
        <v>dry_goods</v>
      </c>
    </row>
    <row r="134">
      <c r="A134" s="13">
        <v>37.0</v>
      </c>
      <c r="B134" s="14" t="str">
        <f>VLOOKUP(A134,inventory,3,true)</f>
        <v>frozen</v>
      </c>
    </row>
    <row r="135">
      <c r="A135" s="13">
        <v>39.0</v>
      </c>
      <c r="B135" s="14" t="str">
        <f>VLOOKUP(A135,inventory,3,true)</f>
        <v>snacks</v>
      </c>
    </row>
    <row r="136">
      <c r="A136" s="13">
        <v>27.0</v>
      </c>
      <c r="B136" s="14" t="str">
        <f>VLOOKUP(A136,inventory,3,true)</f>
        <v>other</v>
      </c>
    </row>
    <row r="137">
      <c r="A137" s="13">
        <v>4.0</v>
      </c>
      <c r="B137" s="14" t="str">
        <f>VLOOKUP(A137,inventory,3,true)</f>
        <v>produce</v>
      </c>
    </row>
    <row r="138">
      <c r="A138" s="13">
        <v>51.0</v>
      </c>
      <c r="B138" s="14" t="str">
        <f>VLOOKUP(A138,inventory,3,true)</f>
        <v>dairy</v>
      </c>
    </row>
    <row r="139">
      <c r="A139" s="13">
        <v>13.0</v>
      </c>
      <c r="B139" s="14" t="str">
        <f>VLOOKUP(A139,inventory,3,true)</f>
        <v>beverages</v>
      </c>
    </row>
    <row r="140">
      <c r="A140" s="13">
        <v>78.0</v>
      </c>
      <c r="B140" s="14" t="str">
        <f>VLOOKUP(A140,inventory,3,true)</f>
        <v>dry_goods</v>
      </c>
    </row>
    <row r="141">
      <c r="A141" s="13">
        <v>22.0</v>
      </c>
      <c r="B141" s="14" t="str">
        <f>VLOOKUP(A141,inventory,3,true)</f>
        <v>meat</v>
      </c>
    </row>
    <row r="142">
      <c r="A142" s="13">
        <v>31.0</v>
      </c>
      <c r="B142" s="14" t="str">
        <f>VLOOKUP(A142,inventory,3,true)</f>
        <v>snacks</v>
      </c>
    </row>
    <row r="143">
      <c r="A143" s="13">
        <v>46.0</v>
      </c>
      <c r="B143" s="14" t="str">
        <f>VLOOKUP(A143,inventory,3,true)</f>
        <v>frozen</v>
      </c>
    </row>
    <row r="144">
      <c r="A144" s="13">
        <v>46.0</v>
      </c>
      <c r="B144" s="14" t="str">
        <f>VLOOKUP(A144,inventory,3,true)</f>
        <v>frozen</v>
      </c>
    </row>
    <row r="145">
      <c r="A145" s="13">
        <v>56.0</v>
      </c>
      <c r="B145" s="14" t="str">
        <f>VLOOKUP(A145,inventory,3,true)</f>
        <v>dry_goods</v>
      </c>
    </row>
    <row r="146">
      <c r="A146" s="13">
        <v>16.0</v>
      </c>
      <c r="B146" s="14" t="str">
        <f>VLOOKUP(A146,inventory,3,true)</f>
        <v>snacks</v>
      </c>
    </row>
    <row r="147">
      <c r="A147" s="13">
        <v>16.0</v>
      </c>
      <c r="B147" s="14" t="str">
        <f>VLOOKUP(A147,inventory,3,true)</f>
        <v>snacks</v>
      </c>
    </row>
    <row r="148">
      <c r="A148" s="13">
        <v>70.0</v>
      </c>
      <c r="B148" s="14" t="str">
        <f>VLOOKUP(A148,inventory,3,true)</f>
        <v>dry_goods</v>
      </c>
    </row>
    <row r="149">
      <c r="A149" s="13">
        <v>22.0</v>
      </c>
      <c r="B149" s="14" t="str">
        <f>VLOOKUP(A149,inventory,3,true)</f>
        <v>meat</v>
      </c>
    </row>
    <row r="150">
      <c r="A150" s="13">
        <v>50.0</v>
      </c>
      <c r="B150" s="14" t="str">
        <f>VLOOKUP(A150,inventory,3,true)</f>
        <v>dairy</v>
      </c>
    </row>
    <row r="151">
      <c r="A151" s="13">
        <v>29.0</v>
      </c>
      <c r="B151" s="14" t="str">
        <f>VLOOKUP(A151,inventory,3,true)</f>
        <v>dairy</v>
      </c>
    </row>
    <row r="152">
      <c r="A152" s="13">
        <v>58.0</v>
      </c>
      <c r="B152" s="14" t="str">
        <f>VLOOKUP(A152,inventory,3,true)</f>
        <v>dry_goods</v>
      </c>
    </row>
    <row r="153">
      <c r="A153" s="13">
        <v>39.0</v>
      </c>
      <c r="B153" s="14" t="str">
        <f>VLOOKUP(A153,inventory,3,true)</f>
        <v>snacks</v>
      </c>
    </row>
    <row r="154">
      <c r="A154" s="13">
        <v>55.0</v>
      </c>
      <c r="B154" s="14" t="str">
        <f>VLOOKUP(A154,inventory,3,true)</f>
        <v>dairy</v>
      </c>
    </row>
    <row r="155">
      <c r="A155" s="13">
        <v>49.0</v>
      </c>
      <c r="B155" s="14" t="str">
        <f>VLOOKUP(A155,inventory,3,true)</f>
        <v>dairy</v>
      </c>
    </row>
    <row r="156">
      <c r="A156" s="13">
        <v>67.0</v>
      </c>
      <c r="B156" s="14" t="str">
        <f>VLOOKUP(A156,inventory,3,true)</f>
        <v>dry_goods</v>
      </c>
    </row>
    <row r="157">
      <c r="A157" s="13">
        <v>36.0</v>
      </c>
      <c r="B157" s="16" t="str">
        <f>VLOOKUP(A157,inventory,3,true)</f>
        <v>canned_jarred_goods</v>
      </c>
    </row>
    <row r="158">
      <c r="A158" s="13">
        <v>82.0</v>
      </c>
      <c r="B158" s="14" t="str">
        <f>VLOOKUP(A158,inventory,3,true)</f>
        <v>dry_goods</v>
      </c>
    </row>
    <row r="159">
      <c r="A159" s="13">
        <v>55.0</v>
      </c>
      <c r="B159" s="14" t="str">
        <f>VLOOKUP(A159,inventory,3,true)</f>
        <v>dairy</v>
      </c>
    </row>
    <row r="160">
      <c r="A160" s="13">
        <v>60.0</v>
      </c>
      <c r="B160" s="14" t="str">
        <f>VLOOKUP(A160,inventory,3,true)</f>
        <v>produce</v>
      </c>
    </row>
    <row r="161">
      <c r="A161" s="13">
        <v>62.0</v>
      </c>
      <c r="B161" s="14" t="str">
        <f>VLOOKUP(A161,inventory,3,true)</f>
        <v>dry_goods</v>
      </c>
    </row>
    <row r="162">
      <c r="A162" s="13">
        <v>21.0</v>
      </c>
      <c r="B162" s="14" t="str">
        <f>VLOOKUP(A162,inventory,3,true)</f>
        <v>snacks</v>
      </c>
    </row>
    <row r="163">
      <c r="A163" s="13">
        <v>81.0</v>
      </c>
      <c r="B163" s="14" t="str">
        <f>VLOOKUP(A163,inventory,3,true)</f>
        <v>dry_goods</v>
      </c>
    </row>
    <row r="164">
      <c r="A164" s="13">
        <v>56.0</v>
      </c>
      <c r="B164" s="14" t="str">
        <f>VLOOKUP(A164,inventory,3,true)</f>
        <v>dry_goods</v>
      </c>
    </row>
    <row r="165">
      <c r="A165" s="13">
        <v>74.0</v>
      </c>
      <c r="B165" s="14" t="str">
        <f>VLOOKUP(A165,inventory,3,true)</f>
        <v>snacks</v>
      </c>
    </row>
    <row r="166">
      <c r="A166" s="13">
        <v>30.0</v>
      </c>
      <c r="B166" s="14" t="str">
        <f>VLOOKUP(A166,inventory,3,true)</f>
        <v>dairy</v>
      </c>
    </row>
    <row r="167">
      <c r="A167" s="13">
        <v>19.0</v>
      </c>
      <c r="B167" s="14" t="str">
        <f>VLOOKUP(A167,inventory,3,true)</f>
        <v>snacks</v>
      </c>
    </row>
    <row r="168">
      <c r="A168" s="13">
        <v>67.0</v>
      </c>
      <c r="B168" s="14" t="str">
        <f>VLOOKUP(A168,inventory,3,true)</f>
        <v>dry_goods</v>
      </c>
    </row>
    <row r="169">
      <c r="A169" s="13">
        <v>42.0</v>
      </c>
      <c r="B169" s="14" t="str">
        <f>VLOOKUP(A169,inventory,3,true)</f>
        <v>produce</v>
      </c>
    </row>
    <row r="170">
      <c r="A170" s="13">
        <v>81.0</v>
      </c>
      <c r="B170" s="14" t="str">
        <f>VLOOKUP(A170,inventory,3,true)</f>
        <v>dry_goods</v>
      </c>
    </row>
    <row r="171">
      <c r="A171" s="13">
        <v>24.0</v>
      </c>
      <c r="B171" s="14" t="str">
        <f>VLOOKUP(A171,inventory,3,true)</f>
        <v>dry_goods</v>
      </c>
    </row>
    <row r="172">
      <c r="A172" s="13">
        <v>20.0</v>
      </c>
      <c r="B172" s="14" t="str">
        <f>VLOOKUP(A172,inventory,3,true)</f>
        <v>snacks</v>
      </c>
    </row>
    <row r="173">
      <c r="A173" s="13">
        <v>21.0</v>
      </c>
      <c r="B173" s="14" t="str">
        <f>VLOOKUP(A173,inventory,3,true)</f>
        <v>snacks</v>
      </c>
    </row>
    <row r="174">
      <c r="A174" s="13">
        <v>36.0</v>
      </c>
      <c r="B174" s="16" t="str">
        <f>VLOOKUP(A174,inventory,3,true)</f>
        <v>canned_jarred_goods</v>
      </c>
    </row>
    <row r="175">
      <c r="A175" s="13">
        <v>11.0</v>
      </c>
      <c r="B175" s="14" t="str">
        <f>VLOOKUP(A175,inventory,3,true)</f>
        <v>produce</v>
      </c>
    </row>
    <row r="176">
      <c r="A176" s="13">
        <v>72.0</v>
      </c>
      <c r="B176" s="14" t="str">
        <f>VLOOKUP(A176,inventory,3,true)</f>
        <v>dry_goods</v>
      </c>
    </row>
    <row r="177">
      <c r="A177" s="13">
        <v>57.0</v>
      </c>
      <c r="B177" s="14" t="str">
        <f>VLOOKUP(A177,inventory,3,true)</f>
        <v>produce</v>
      </c>
    </row>
    <row r="178">
      <c r="A178" s="13">
        <v>73.0</v>
      </c>
      <c r="B178" s="14" t="str">
        <f>VLOOKUP(A178,inventory,3,true)</f>
        <v>snacks</v>
      </c>
    </row>
    <row r="179">
      <c r="A179" s="13">
        <v>28.0</v>
      </c>
      <c r="B179" s="14" t="str">
        <f>VLOOKUP(A179,inventory,3,true)</f>
        <v>dry_goods</v>
      </c>
    </row>
    <row r="180">
      <c r="A180" s="13">
        <v>76.0</v>
      </c>
      <c r="B180" s="14" t="str">
        <f>VLOOKUP(A180,inventory,3,true)</f>
        <v>snacks</v>
      </c>
    </row>
    <row r="181">
      <c r="A181" s="13">
        <v>25.0</v>
      </c>
      <c r="B181" s="14" t="str">
        <f>VLOOKUP(A181,inventory,3,true)</f>
        <v>meat</v>
      </c>
    </row>
    <row r="182">
      <c r="A182" s="13">
        <v>2.0</v>
      </c>
      <c r="B182" s="14" t="str">
        <f>VLOOKUP(A182,inventory,3,true)</f>
        <v>produce</v>
      </c>
    </row>
    <row r="183">
      <c r="A183" s="13">
        <v>12.0</v>
      </c>
      <c r="B183" s="14" t="str">
        <f>VLOOKUP(A183,inventory,3,true)</f>
        <v>dairy</v>
      </c>
    </row>
    <row r="184">
      <c r="A184" s="13">
        <v>9.0</v>
      </c>
      <c r="B184" s="14" t="str">
        <f>VLOOKUP(A184,inventory,3,true)</f>
        <v>produce</v>
      </c>
    </row>
    <row r="185">
      <c r="A185" s="13">
        <v>10.0</v>
      </c>
      <c r="B185" s="14" t="str">
        <f>VLOOKUP(A185,inventory,3,true)</f>
        <v>produce</v>
      </c>
    </row>
    <row r="186">
      <c r="A186" s="13">
        <v>16.0</v>
      </c>
      <c r="B186" s="14" t="str">
        <f>VLOOKUP(A186,inventory,3,true)</f>
        <v>snacks</v>
      </c>
    </row>
    <row r="187">
      <c r="A187" s="13">
        <v>65.0</v>
      </c>
      <c r="B187" s="14" t="str">
        <f>VLOOKUP(A187,inventory,3,true)</f>
        <v>produce</v>
      </c>
    </row>
    <row r="188">
      <c r="A188" s="13">
        <v>17.0</v>
      </c>
      <c r="B188" s="14" t="str">
        <f>VLOOKUP(A188,inventory,3,true)</f>
        <v>other</v>
      </c>
    </row>
    <row r="189">
      <c r="A189" s="13">
        <v>20.0</v>
      </c>
      <c r="B189" s="14" t="str">
        <f>VLOOKUP(A189,inventory,3,true)</f>
        <v>snacks</v>
      </c>
    </row>
    <row r="190">
      <c r="A190" s="13">
        <v>14.0</v>
      </c>
      <c r="B190" s="14" t="str">
        <f>VLOOKUP(A190,inventory,3,true)</f>
        <v>snacks</v>
      </c>
    </row>
    <row r="191">
      <c r="A191" s="13">
        <v>27.0</v>
      </c>
      <c r="B191" s="14" t="str">
        <f>VLOOKUP(A191,inventory,3,true)</f>
        <v>other</v>
      </c>
    </row>
    <row r="192">
      <c r="A192" s="13">
        <v>60.0</v>
      </c>
      <c r="B192" s="14" t="str">
        <f>VLOOKUP(A192,inventory,3,true)</f>
        <v>produce</v>
      </c>
    </row>
    <row r="193">
      <c r="A193" s="13">
        <v>67.0</v>
      </c>
      <c r="B193" s="14" t="str">
        <f>VLOOKUP(A193,inventory,3,true)</f>
        <v>dry_goods</v>
      </c>
    </row>
    <row r="194">
      <c r="A194" s="13">
        <v>77.0</v>
      </c>
      <c r="B194" s="14" t="str">
        <f>VLOOKUP(A194,inventory,3,true)</f>
        <v>produce</v>
      </c>
    </row>
    <row r="195">
      <c r="A195" s="13">
        <v>79.0</v>
      </c>
      <c r="B195" s="14" t="str">
        <f>VLOOKUP(A195,inventory,3,true)</f>
        <v>dry_goods</v>
      </c>
    </row>
    <row r="196">
      <c r="A196" s="13">
        <v>81.0</v>
      </c>
      <c r="B196" s="14" t="str">
        <f>VLOOKUP(A196,inventory,3,true)</f>
        <v>dry_goods</v>
      </c>
    </row>
    <row r="197">
      <c r="A197" s="13">
        <v>9.0</v>
      </c>
      <c r="B197" s="14" t="str">
        <f>VLOOKUP(A197,inventory,3,true)</f>
        <v>produce</v>
      </c>
    </row>
    <row r="198">
      <c r="A198" s="13">
        <v>42.0</v>
      </c>
      <c r="B198" s="14" t="str">
        <f>VLOOKUP(A198,inventory,3,true)</f>
        <v>produce</v>
      </c>
    </row>
    <row r="199">
      <c r="A199" s="13">
        <v>69.0</v>
      </c>
      <c r="B199" s="14" t="str">
        <f>VLOOKUP(A199,inventory,3,true)</f>
        <v>dry_goods</v>
      </c>
    </row>
    <row r="200">
      <c r="A200" s="13">
        <v>76.0</v>
      </c>
      <c r="B200" s="14" t="str">
        <f>VLOOKUP(A200,inventory,3,true)</f>
        <v>snacks</v>
      </c>
    </row>
    <row r="201">
      <c r="A201" s="13">
        <v>63.0</v>
      </c>
      <c r="B201" s="14" t="str">
        <f>VLOOKUP(A201,inventory,3,true)</f>
        <v>produce</v>
      </c>
    </row>
    <row r="202">
      <c r="A202" s="13">
        <v>78.0</v>
      </c>
      <c r="B202" s="14" t="str">
        <f>VLOOKUP(A202,inventory,3,true)</f>
        <v>dry_goods</v>
      </c>
    </row>
    <row r="203">
      <c r="A203" s="13">
        <v>82.0</v>
      </c>
      <c r="B203" s="14" t="str">
        <f>VLOOKUP(A203,inventory,3,true)</f>
        <v>dry_goods</v>
      </c>
    </row>
    <row r="204">
      <c r="A204" s="13">
        <v>69.0</v>
      </c>
      <c r="B204" s="14" t="str">
        <f>VLOOKUP(A204,inventory,3,true)</f>
        <v>dry_goods</v>
      </c>
    </row>
    <row r="205">
      <c r="A205" s="13">
        <v>81.0</v>
      </c>
      <c r="B205" s="14" t="str">
        <f>VLOOKUP(A205,inventory,3,true)</f>
        <v>dry_goods</v>
      </c>
    </row>
    <row r="206">
      <c r="A206" s="13">
        <v>78.0</v>
      </c>
      <c r="B206" s="14" t="str">
        <f>VLOOKUP(A206,inventory,3,true)</f>
        <v>dry_goods</v>
      </c>
    </row>
    <row r="207">
      <c r="A207" s="13">
        <v>80.0</v>
      </c>
      <c r="B207" s="14" t="str">
        <f>VLOOKUP(A207,inventory,3,true)</f>
        <v>dry_goods</v>
      </c>
    </row>
    <row r="208">
      <c r="A208" s="13">
        <v>58.0</v>
      </c>
      <c r="B208" s="14" t="str">
        <f>VLOOKUP(A208,inventory,3,true)</f>
        <v>dry_goods</v>
      </c>
    </row>
    <row r="209">
      <c r="A209" s="13">
        <v>57.0</v>
      </c>
      <c r="B209" s="14" t="str">
        <f>VLOOKUP(A209,inventory,3,true)</f>
        <v>produce</v>
      </c>
    </row>
    <row r="210">
      <c r="A210" s="13">
        <v>19.0</v>
      </c>
      <c r="B210" s="14" t="str">
        <f>VLOOKUP(A210,inventory,3,true)</f>
        <v>snacks</v>
      </c>
    </row>
    <row r="211">
      <c r="A211" s="13">
        <v>26.0</v>
      </c>
      <c r="B211" s="14" t="str">
        <f>VLOOKUP(A211,inventory,3,true)</f>
        <v>beverages</v>
      </c>
    </row>
    <row r="212">
      <c r="A212" s="13">
        <v>13.0</v>
      </c>
      <c r="B212" s="14" t="str">
        <f>VLOOKUP(A212,inventory,3,true)</f>
        <v>beverages</v>
      </c>
    </row>
    <row r="213">
      <c r="A213" s="13">
        <v>2.0</v>
      </c>
      <c r="B213" s="14" t="str">
        <f>VLOOKUP(A213,inventory,3,true)</f>
        <v>produce</v>
      </c>
    </row>
    <row r="214">
      <c r="A214" s="13">
        <v>35.0</v>
      </c>
      <c r="B214" s="14" t="str">
        <f>VLOOKUP(A214,inventory,3,true)</f>
        <v>frozen</v>
      </c>
    </row>
    <row r="215">
      <c r="A215" s="13">
        <v>6.0</v>
      </c>
      <c r="B215" s="14" t="str">
        <f>VLOOKUP(A215,inventory,3,true)</f>
        <v>produce</v>
      </c>
    </row>
    <row r="216">
      <c r="A216" s="13">
        <v>23.0</v>
      </c>
      <c r="B216" s="14" t="str">
        <f>VLOOKUP(A216,inventory,3,true)</f>
        <v>dry_goods</v>
      </c>
    </row>
    <row r="217">
      <c r="A217" s="13">
        <v>46.0</v>
      </c>
      <c r="B217" s="14" t="str">
        <f>VLOOKUP(A217,inventory,3,true)</f>
        <v>frozen</v>
      </c>
    </row>
    <row r="218">
      <c r="A218" s="13">
        <v>21.0</v>
      </c>
      <c r="B218" s="14" t="str">
        <f>VLOOKUP(A218,inventory,3,true)</f>
        <v>snacks</v>
      </c>
    </row>
    <row r="219">
      <c r="A219" s="13">
        <v>11.0</v>
      </c>
      <c r="B219" s="14" t="str">
        <f>VLOOKUP(A219,inventory,3,true)</f>
        <v>produce</v>
      </c>
    </row>
    <row r="220">
      <c r="A220" s="13">
        <v>64.0</v>
      </c>
      <c r="B220" s="14" t="str">
        <f>VLOOKUP(A220,inventory,3,true)</f>
        <v>produce</v>
      </c>
    </row>
    <row r="221">
      <c r="A221" s="13">
        <v>15.0</v>
      </c>
      <c r="B221" s="14" t="str">
        <f>VLOOKUP(A221,inventory,3,true)</f>
        <v>snacks</v>
      </c>
    </row>
    <row r="222">
      <c r="A222" s="13">
        <v>76.0</v>
      </c>
      <c r="B222" s="14" t="str">
        <f>VLOOKUP(A222,inventory,3,true)</f>
        <v>snacks</v>
      </c>
    </row>
    <row r="223">
      <c r="A223" s="13">
        <v>7.0</v>
      </c>
      <c r="B223" s="14" t="str">
        <f>VLOOKUP(A223,inventory,3,true)</f>
        <v>produce</v>
      </c>
    </row>
    <row r="224">
      <c r="A224" s="13">
        <v>40.0</v>
      </c>
      <c r="B224" s="14" t="str">
        <f>VLOOKUP(A224,inventory,3,true)</f>
        <v>frozen</v>
      </c>
    </row>
    <row r="225">
      <c r="A225" s="13">
        <v>38.0</v>
      </c>
      <c r="B225" s="14" t="str">
        <f>VLOOKUP(A225,inventory,3,true)</f>
        <v>frozen</v>
      </c>
    </row>
    <row r="226">
      <c r="A226" s="13">
        <v>36.0</v>
      </c>
      <c r="B226" s="16" t="str">
        <f>VLOOKUP(A226,inventory,3,true)</f>
        <v>canned_jarred_goods</v>
      </c>
    </row>
    <row r="227">
      <c r="A227" s="13">
        <v>75.0</v>
      </c>
      <c r="B227" s="14" t="str">
        <f>VLOOKUP(A227,inventory,3,true)</f>
        <v>snacks</v>
      </c>
    </row>
    <row r="228">
      <c r="A228" s="13">
        <v>35.0</v>
      </c>
      <c r="B228" s="14" t="str">
        <f>VLOOKUP(A228,inventory,3,true)</f>
        <v>frozen</v>
      </c>
    </row>
    <row r="229">
      <c r="A229" s="13">
        <v>15.0</v>
      </c>
      <c r="B229" s="14" t="str">
        <f>VLOOKUP(A229,inventory,3,true)</f>
        <v>snacks</v>
      </c>
    </row>
    <row r="230">
      <c r="A230" s="13">
        <v>40.0</v>
      </c>
      <c r="B230" s="14" t="str">
        <f>VLOOKUP(A230,inventory,3,true)</f>
        <v>frozen</v>
      </c>
    </row>
    <row r="231">
      <c r="A231" s="13">
        <v>78.0</v>
      </c>
      <c r="B231" s="14" t="str">
        <f>VLOOKUP(A231,inventory,3,true)</f>
        <v>dry_goods</v>
      </c>
    </row>
    <row r="232">
      <c r="A232" s="13">
        <v>2.0</v>
      </c>
      <c r="B232" s="14" t="str">
        <f>VLOOKUP(A232,inventory,3,true)</f>
        <v>produce</v>
      </c>
    </row>
    <row r="233">
      <c r="A233" s="13">
        <v>64.0</v>
      </c>
      <c r="B233" s="14" t="str">
        <f>VLOOKUP(A233,inventory,3,true)</f>
        <v>produce</v>
      </c>
    </row>
    <row r="234">
      <c r="A234" s="13">
        <v>13.0</v>
      </c>
      <c r="B234" s="14" t="str">
        <f>VLOOKUP(A234,inventory,3,true)</f>
        <v>beverages</v>
      </c>
    </row>
    <row r="235">
      <c r="A235" s="13">
        <v>78.0</v>
      </c>
      <c r="B235" s="14" t="str">
        <f>VLOOKUP(A235,inventory,3,true)</f>
        <v>dry_goods</v>
      </c>
    </row>
    <row r="236">
      <c r="A236" s="13">
        <v>48.0</v>
      </c>
      <c r="B236" s="14" t="str">
        <f>VLOOKUP(A236,inventory,3,true)</f>
        <v>dry_goods</v>
      </c>
    </row>
    <row r="237">
      <c r="A237" s="13">
        <v>17.0</v>
      </c>
      <c r="B237" s="14" t="str">
        <f>VLOOKUP(A237,inventory,3,true)</f>
        <v>other</v>
      </c>
    </row>
    <row r="238">
      <c r="A238" s="13">
        <v>15.0</v>
      </c>
      <c r="B238" s="14" t="str">
        <f>VLOOKUP(A238,inventory,3,true)</f>
        <v>snacks</v>
      </c>
    </row>
    <row r="239">
      <c r="A239" s="13">
        <v>48.0</v>
      </c>
      <c r="B239" s="14" t="str">
        <f>VLOOKUP(A239,inventory,3,true)</f>
        <v>dry_goods</v>
      </c>
    </row>
    <row r="240">
      <c r="A240" s="13">
        <v>39.0</v>
      </c>
      <c r="B240" s="14" t="str">
        <f>VLOOKUP(A240,inventory,3,true)</f>
        <v>snacks</v>
      </c>
    </row>
    <row r="241">
      <c r="A241" s="13">
        <v>35.0</v>
      </c>
      <c r="B241" s="14" t="str">
        <f>VLOOKUP(A241,inventory,3,true)</f>
        <v>frozen</v>
      </c>
    </row>
    <row r="242">
      <c r="A242" s="13">
        <v>57.0</v>
      </c>
      <c r="B242" s="14" t="str">
        <f>VLOOKUP(A242,inventory,3,true)</f>
        <v>produce</v>
      </c>
    </row>
    <row r="243">
      <c r="A243" s="13">
        <v>72.0</v>
      </c>
      <c r="B243" s="14" t="str">
        <f>VLOOKUP(A243,inventory,3,true)</f>
        <v>dry_goods</v>
      </c>
    </row>
    <row r="244">
      <c r="A244" s="13">
        <v>51.0</v>
      </c>
      <c r="B244" s="14" t="str">
        <f>VLOOKUP(A244,inventory,3,true)</f>
        <v>dairy</v>
      </c>
    </row>
    <row r="245">
      <c r="A245" s="13">
        <v>75.0</v>
      </c>
      <c r="B245" s="14" t="str">
        <f>VLOOKUP(A245,inventory,3,true)</f>
        <v>snacks</v>
      </c>
    </row>
    <row r="246">
      <c r="A246" s="13">
        <v>42.0</v>
      </c>
      <c r="B246" s="14" t="str">
        <f>VLOOKUP(A246,inventory,3,true)</f>
        <v>produce</v>
      </c>
    </row>
    <row r="247">
      <c r="A247" s="13">
        <v>17.0</v>
      </c>
      <c r="B247" s="14" t="str">
        <f>VLOOKUP(A247,inventory,3,true)</f>
        <v>other</v>
      </c>
    </row>
    <row r="248">
      <c r="A248" s="13">
        <v>81.0</v>
      </c>
      <c r="B248" s="14" t="str">
        <f>VLOOKUP(A248,inventory,3,true)</f>
        <v>dry_goods</v>
      </c>
    </row>
    <row r="249">
      <c r="A249" s="13">
        <v>24.0</v>
      </c>
      <c r="B249" s="14" t="str">
        <f>VLOOKUP(A249,inventory,3,true)</f>
        <v>dry_goods</v>
      </c>
    </row>
    <row r="250">
      <c r="A250" s="13">
        <v>57.0</v>
      </c>
      <c r="B250" s="14" t="str">
        <f>VLOOKUP(A250,inventory,3,true)</f>
        <v>produce</v>
      </c>
    </row>
    <row r="251">
      <c r="A251" s="13">
        <v>57.0</v>
      </c>
      <c r="B251" s="14" t="str">
        <f>VLOOKUP(A251,inventory,3,true)</f>
        <v>produce</v>
      </c>
    </row>
    <row r="252">
      <c r="A252" s="13">
        <v>46.0</v>
      </c>
      <c r="B252" s="14" t="str">
        <f>VLOOKUP(A252,inventory,3,true)</f>
        <v>frozen</v>
      </c>
    </row>
    <row r="253">
      <c r="A253" s="13">
        <v>38.0</v>
      </c>
      <c r="B253" s="14" t="str">
        <f>VLOOKUP(A253,inventory,3,true)</f>
        <v>frozen</v>
      </c>
    </row>
    <row r="254">
      <c r="A254" s="13">
        <v>36.0</v>
      </c>
      <c r="B254" s="16" t="str">
        <f>VLOOKUP(A254,inventory,3,true)</f>
        <v>canned_jarred_goods</v>
      </c>
    </row>
    <row r="255">
      <c r="A255" s="13">
        <v>34.0</v>
      </c>
      <c r="B255" s="16" t="str">
        <f>VLOOKUP(A255,inventory,3,true)</f>
        <v>canned_jarred_goods</v>
      </c>
    </row>
    <row r="256">
      <c r="A256" s="13">
        <v>60.0</v>
      </c>
      <c r="B256" s="14" t="str">
        <f>VLOOKUP(A256,inventory,3,true)</f>
        <v>produce</v>
      </c>
    </row>
    <row r="257">
      <c r="A257" s="13">
        <v>12.0</v>
      </c>
      <c r="B257" s="14" t="str">
        <f>VLOOKUP(A257,inventory,3,true)</f>
        <v>dairy</v>
      </c>
    </row>
    <row r="258">
      <c r="A258" s="13">
        <v>5.0</v>
      </c>
      <c r="B258" s="14" t="str">
        <f>VLOOKUP(A258,inventory,3,true)</f>
        <v>produce</v>
      </c>
    </row>
    <row r="259">
      <c r="A259" s="13">
        <v>27.0</v>
      </c>
      <c r="B259" s="14" t="str">
        <f>VLOOKUP(A259,inventory,3,true)</f>
        <v>other</v>
      </c>
    </row>
    <row r="260">
      <c r="A260" s="13">
        <v>25.0</v>
      </c>
      <c r="B260" s="14" t="str">
        <f>VLOOKUP(A260,inventory,3,true)</f>
        <v>meat</v>
      </c>
    </row>
    <row r="261">
      <c r="A261" s="13">
        <v>78.0</v>
      </c>
      <c r="B261" s="14" t="str">
        <f>VLOOKUP(A261,inventory,3,true)</f>
        <v>dry_goods</v>
      </c>
    </row>
    <row r="262">
      <c r="A262" s="13">
        <v>37.0</v>
      </c>
      <c r="B262" s="14" t="str">
        <f>VLOOKUP(A262,inventory,3,true)</f>
        <v>frozen</v>
      </c>
    </row>
    <row r="263">
      <c r="A263" s="13">
        <v>59.0</v>
      </c>
      <c r="B263" s="14" t="str">
        <f>VLOOKUP(A263,inventory,3,true)</f>
        <v>produce</v>
      </c>
    </row>
    <row r="264">
      <c r="A264" s="13">
        <v>70.0</v>
      </c>
      <c r="B264" s="14" t="str">
        <f>VLOOKUP(A264,inventory,3,true)</f>
        <v>dry_goods</v>
      </c>
    </row>
    <row r="265">
      <c r="A265" s="13">
        <v>46.0</v>
      </c>
      <c r="B265" s="14" t="str">
        <f>VLOOKUP(A265,inventory,3,true)</f>
        <v>frozen</v>
      </c>
    </row>
    <row r="266">
      <c r="A266" s="13">
        <v>11.0</v>
      </c>
      <c r="B266" s="14" t="str">
        <f>VLOOKUP(A266,inventory,3,true)</f>
        <v>produce</v>
      </c>
    </row>
    <row r="267">
      <c r="A267" s="13">
        <v>72.0</v>
      </c>
      <c r="B267" s="14" t="str">
        <f>VLOOKUP(A267,inventory,3,true)</f>
        <v>dry_goods</v>
      </c>
    </row>
    <row r="268">
      <c r="A268" s="13">
        <v>65.0</v>
      </c>
      <c r="B268" s="14" t="str">
        <f>VLOOKUP(A268,inventory,3,true)</f>
        <v>produce</v>
      </c>
    </row>
    <row r="269">
      <c r="A269" s="13">
        <v>27.0</v>
      </c>
      <c r="B269" s="14" t="str">
        <f>VLOOKUP(A269,inventory,3,true)</f>
        <v>other</v>
      </c>
    </row>
    <row r="270">
      <c r="A270" s="13">
        <v>77.0</v>
      </c>
      <c r="B270" s="14" t="str">
        <f>VLOOKUP(A270,inventory,3,true)</f>
        <v>produce</v>
      </c>
    </row>
    <row r="271">
      <c r="A271" s="13">
        <v>13.0</v>
      </c>
      <c r="B271" s="14" t="str">
        <f>VLOOKUP(A271,inventory,3,true)</f>
        <v>beverages</v>
      </c>
    </row>
    <row r="272">
      <c r="A272" s="13">
        <v>11.0</v>
      </c>
      <c r="B272" s="14" t="str">
        <f>VLOOKUP(A272,inventory,3,true)</f>
        <v>produce</v>
      </c>
    </row>
    <row r="273">
      <c r="A273" s="13">
        <v>37.0</v>
      </c>
      <c r="B273" s="14" t="str">
        <f>VLOOKUP(A273,inventory,3,true)</f>
        <v>frozen</v>
      </c>
    </row>
    <row r="274">
      <c r="A274" s="13">
        <v>9.0</v>
      </c>
      <c r="B274" s="14" t="str">
        <f>VLOOKUP(A274,inventory,3,true)</f>
        <v>produce</v>
      </c>
    </row>
    <row r="275">
      <c r="A275" s="13">
        <v>23.0</v>
      </c>
      <c r="B275" s="14" t="str">
        <f>VLOOKUP(A275,inventory,3,true)</f>
        <v>dry_goods</v>
      </c>
    </row>
    <row r="276">
      <c r="A276" s="13">
        <v>40.0</v>
      </c>
      <c r="B276" s="14" t="str">
        <f>VLOOKUP(A276,inventory,3,true)</f>
        <v>frozen</v>
      </c>
    </row>
    <row r="277">
      <c r="A277" s="13">
        <v>75.0</v>
      </c>
      <c r="B277" s="14" t="str">
        <f>VLOOKUP(A277,inventory,3,true)</f>
        <v>snacks</v>
      </c>
    </row>
    <row r="278">
      <c r="A278" s="13">
        <v>8.0</v>
      </c>
      <c r="B278" s="14" t="str">
        <f>VLOOKUP(A278,inventory,3,true)</f>
        <v>produce</v>
      </c>
    </row>
    <row r="279">
      <c r="A279" s="13">
        <v>18.0</v>
      </c>
      <c r="B279" s="14" t="str">
        <f>VLOOKUP(A279,inventory,3,true)</f>
        <v>dry_goods</v>
      </c>
    </row>
    <row r="280">
      <c r="A280" s="13">
        <v>48.0</v>
      </c>
      <c r="B280" s="14" t="str">
        <f>VLOOKUP(A280,inventory,3,true)</f>
        <v>dry_goods</v>
      </c>
    </row>
    <row r="281">
      <c r="A281" s="13">
        <v>76.0</v>
      </c>
      <c r="B281" s="14" t="str">
        <f>VLOOKUP(A281,inventory,3,true)</f>
        <v>snacks</v>
      </c>
    </row>
    <row r="282">
      <c r="A282" s="13">
        <v>53.0</v>
      </c>
      <c r="B282" s="14" t="str">
        <f>VLOOKUP(A282,inventory,3,true)</f>
        <v>dairy</v>
      </c>
    </row>
    <row r="283">
      <c r="A283" s="13">
        <v>63.0</v>
      </c>
      <c r="B283" s="14" t="str">
        <f>VLOOKUP(A283,inventory,3,true)</f>
        <v>produce</v>
      </c>
    </row>
    <row r="284">
      <c r="A284" s="13">
        <v>7.0</v>
      </c>
      <c r="B284" s="14" t="str">
        <f>VLOOKUP(A284,inventory,3,true)</f>
        <v>produce</v>
      </c>
    </row>
    <row r="285">
      <c r="A285" s="13">
        <v>32.0</v>
      </c>
      <c r="B285" s="14" t="str">
        <f>VLOOKUP(A285,inventory,3,true)</f>
        <v>produce</v>
      </c>
    </row>
    <row r="286">
      <c r="A286" s="13">
        <v>20.0</v>
      </c>
      <c r="B286" s="14" t="str">
        <f>VLOOKUP(A286,inventory,3,true)</f>
        <v>snacks</v>
      </c>
    </row>
    <row r="287">
      <c r="A287" s="13">
        <v>63.0</v>
      </c>
      <c r="B287" s="14" t="str">
        <f>VLOOKUP(A287,inventory,3,true)</f>
        <v>produce</v>
      </c>
    </row>
    <row r="288">
      <c r="A288" s="13">
        <v>27.0</v>
      </c>
      <c r="B288" s="14" t="str">
        <f>VLOOKUP(A288,inventory,3,true)</f>
        <v>other</v>
      </c>
    </row>
    <row r="289">
      <c r="A289" s="13">
        <v>49.0</v>
      </c>
      <c r="B289" s="14" t="str">
        <f>VLOOKUP(A289,inventory,3,true)</f>
        <v>dairy</v>
      </c>
    </row>
    <row r="290">
      <c r="A290" s="13">
        <v>58.0</v>
      </c>
      <c r="B290" s="14" t="str">
        <f>VLOOKUP(A290,inventory,3,true)</f>
        <v>dry_goods</v>
      </c>
    </row>
    <row r="291">
      <c r="A291" s="13">
        <v>19.0</v>
      </c>
      <c r="B291" s="14" t="str">
        <f>VLOOKUP(A291,inventory,3,true)</f>
        <v>snacks</v>
      </c>
    </row>
    <row r="292">
      <c r="A292" s="13">
        <v>83.0</v>
      </c>
      <c r="B292" s="14" t="str">
        <f>VLOOKUP(A292,inventory,3,true)</f>
        <v>snacks</v>
      </c>
    </row>
    <row r="293">
      <c r="A293" s="13">
        <v>44.0</v>
      </c>
      <c r="B293" s="14" t="str">
        <f>VLOOKUP(A293,inventory,3,true)</f>
        <v>frozen</v>
      </c>
    </row>
    <row r="294">
      <c r="A294" s="13">
        <v>4.0</v>
      </c>
      <c r="B294" s="14" t="str">
        <f>VLOOKUP(A294,inventory,3,true)</f>
        <v>produce</v>
      </c>
    </row>
    <row r="295">
      <c r="A295" s="13">
        <v>40.0</v>
      </c>
      <c r="B295" s="14" t="str">
        <f>VLOOKUP(A295,inventory,3,true)</f>
        <v>frozen</v>
      </c>
    </row>
    <row r="296">
      <c r="A296" s="13">
        <v>5.0</v>
      </c>
      <c r="B296" s="14" t="str">
        <f>VLOOKUP(A296,inventory,3,true)</f>
        <v>produce</v>
      </c>
    </row>
    <row r="297">
      <c r="A297" s="13">
        <v>36.0</v>
      </c>
      <c r="B297" s="16" t="str">
        <f>VLOOKUP(A297,inventory,3,true)</f>
        <v>canned_jarred_goods</v>
      </c>
    </row>
    <row r="298">
      <c r="A298" s="13">
        <v>15.0</v>
      </c>
      <c r="B298" s="14" t="str">
        <f>VLOOKUP(A298,inventory,3,true)</f>
        <v>snacks</v>
      </c>
    </row>
    <row r="299">
      <c r="A299" s="13">
        <v>21.0</v>
      </c>
      <c r="B299" s="14" t="str">
        <f>VLOOKUP(A299,inventory,3,true)</f>
        <v>snacks</v>
      </c>
    </row>
    <row r="300">
      <c r="A300" s="13">
        <v>55.0</v>
      </c>
      <c r="B300" s="14" t="str">
        <f>VLOOKUP(A300,inventory,3,true)</f>
        <v>dairy</v>
      </c>
    </row>
    <row r="301">
      <c r="A301" s="13">
        <v>71.0</v>
      </c>
      <c r="B301" s="14" t="str">
        <f>VLOOKUP(A301,inventory,3,true)</f>
        <v>dry_goods</v>
      </c>
    </row>
    <row r="302">
      <c r="A302" s="13">
        <v>55.0</v>
      </c>
      <c r="B302" s="14" t="str">
        <f>VLOOKUP(A302,inventory,3,true)</f>
        <v>dairy</v>
      </c>
    </row>
    <row r="303">
      <c r="A303" s="13">
        <v>4.0</v>
      </c>
      <c r="B303" s="14" t="str">
        <f>VLOOKUP(A303,inventory,3,true)</f>
        <v>produce</v>
      </c>
    </row>
    <row r="304">
      <c r="A304" s="13">
        <v>59.0</v>
      </c>
      <c r="B304" s="14" t="str">
        <f>VLOOKUP(A304,inventory,3,true)</f>
        <v>produce</v>
      </c>
    </row>
    <row r="305">
      <c r="A305" s="13">
        <v>72.0</v>
      </c>
      <c r="B305" s="14" t="str">
        <f>VLOOKUP(A305,inventory,3,true)</f>
        <v>dry_goods</v>
      </c>
    </row>
    <row r="306">
      <c r="A306" s="13">
        <v>33.0</v>
      </c>
      <c r="B306" s="16" t="str">
        <f>VLOOKUP(A306,inventory,3,true)</f>
        <v>canned_jarred_goods</v>
      </c>
    </row>
    <row r="307">
      <c r="A307" s="13">
        <v>49.0</v>
      </c>
      <c r="B307" s="14" t="str">
        <f>VLOOKUP(A307,inventory,3,true)</f>
        <v>dairy</v>
      </c>
    </row>
    <row r="308">
      <c r="A308" s="13">
        <v>69.0</v>
      </c>
      <c r="B308" s="14" t="str">
        <f>VLOOKUP(A308,inventory,3,true)</f>
        <v>dry_goods</v>
      </c>
    </row>
    <row r="309">
      <c r="A309" s="13">
        <v>15.0</v>
      </c>
      <c r="B309" s="14" t="str">
        <f>VLOOKUP(A309,inventory,3,true)</f>
        <v>snacks</v>
      </c>
    </row>
    <row r="310">
      <c r="A310" s="13">
        <v>11.0</v>
      </c>
      <c r="B310" s="14" t="str">
        <f>VLOOKUP(A310,inventory,3,true)</f>
        <v>produce</v>
      </c>
    </row>
    <row r="311">
      <c r="A311" s="13">
        <v>73.0</v>
      </c>
      <c r="B311" s="14" t="str">
        <f>VLOOKUP(A311,inventory,3,true)</f>
        <v>snacks</v>
      </c>
    </row>
    <row r="312">
      <c r="A312" s="13">
        <v>27.0</v>
      </c>
      <c r="B312" s="14" t="str">
        <f>VLOOKUP(A312,inventory,3,true)</f>
        <v>other</v>
      </c>
    </row>
    <row r="313">
      <c r="A313" s="13">
        <v>10.0</v>
      </c>
      <c r="B313" s="14" t="str">
        <f>VLOOKUP(A313,inventory,3,true)</f>
        <v>produce</v>
      </c>
    </row>
    <row r="314">
      <c r="A314" s="13">
        <v>39.0</v>
      </c>
      <c r="B314" s="14" t="str">
        <f>VLOOKUP(A314,inventory,3,true)</f>
        <v>snacks</v>
      </c>
    </row>
    <row r="315">
      <c r="A315" s="13">
        <v>84.0</v>
      </c>
      <c r="B315" s="14" t="str">
        <f>VLOOKUP(A315,inventory,3,true)</f>
        <v>dry_goods</v>
      </c>
    </row>
    <row r="316">
      <c r="A316" s="13">
        <v>13.0</v>
      </c>
      <c r="B316" s="14" t="str">
        <f>VLOOKUP(A316,inventory,3,true)</f>
        <v>beverages</v>
      </c>
    </row>
    <row r="317">
      <c r="A317" s="13">
        <v>55.0</v>
      </c>
      <c r="B317" s="14" t="str">
        <f>VLOOKUP(A317,inventory,3,true)</f>
        <v>dairy</v>
      </c>
    </row>
    <row r="318">
      <c r="A318" s="13">
        <v>40.0</v>
      </c>
      <c r="B318" s="14" t="str">
        <f>VLOOKUP(A318,inventory,3,true)</f>
        <v>frozen</v>
      </c>
    </row>
    <row r="319">
      <c r="A319" s="13">
        <v>5.0</v>
      </c>
      <c r="B319" s="14" t="str">
        <f>VLOOKUP(A319,inventory,3,true)</f>
        <v>produce</v>
      </c>
    </row>
    <row r="320">
      <c r="A320" s="13">
        <v>54.0</v>
      </c>
      <c r="B320" s="14" t="str">
        <f>VLOOKUP(A320,inventory,3,true)</f>
        <v>dairy</v>
      </c>
    </row>
    <row r="321">
      <c r="A321" s="13">
        <v>69.0</v>
      </c>
      <c r="B321" s="14" t="str">
        <f>VLOOKUP(A321,inventory,3,true)</f>
        <v>dry_goods</v>
      </c>
    </row>
    <row r="322">
      <c r="A322" s="13">
        <v>2.0</v>
      </c>
      <c r="B322" s="14" t="str">
        <f>VLOOKUP(A322,inventory,3,true)</f>
        <v>produce</v>
      </c>
    </row>
    <row r="323">
      <c r="A323" s="13">
        <v>31.0</v>
      </c>
      <c r="B323" s="14" t="str">
        <f>VLOOKUP(A323,inventory,3,true)</f>
        <v>snacks</v>
      </c>
    </row>
    <row r="324">
      <c r="A324" s="13">
        <v>73.0</v>
      </c>
      <c r="B324" s="14" t="str">
        <f>VLOOKUP(A324,inventory,3,true)</f>
        <v>snacks</v>
      </c>
    </row>
    <row r="325">
      <c r="A325" s="13">
        <v>31.0</v>
      </c>
      <c r="B325" s="14" t="str">
        <f>VLOOKUP(A325,inventory,3,true)</f>
        <v>snacks</v>
      </c>
    </row>
    <row r="326">
      <c r="A326" s="13">
        <v>24.0</v>
      </c>
      <c r="B326" s="14" t="str">
        <f>VLOOKUP(A326,inventory,3,true)</f>
        <v>dry_goods</v>
      </c>
    </row>
    <row r="327">
      <c r="A327" s="13">
        <v>73.0</v>
      </c>
      <c r="B327" s="14" t="str">
        <f>VLOOKUP(A327,inventory,3,true)</f>
        <v>snacks</v>
      </c>
    </row>
    <row r="328">
      <c r="A328" s="13">
        <v>77.0</v>
      </c>
      <c r="B328" s="14" t="str">
        <f>VLOOKUP(A328,inventory,3,true)</f>
        <v>produce</v>
      </c>
    </row>
    <row r="329">
      <c r="A329" s="13">
        <v>84.0</v>
      </c>
      <c r="B329" s="14" t="str">
        <f>VLOOKUP(A329,inventory,3,true)</f>
        <v>dry_goods</v>
      </c>
    </row>
    <row r="330">
      <c r="A330" s="13">
        <v>46.0</v>
      </c>
      <c r="B330" s="14" t="str">
        <f>VLOOKUP(A330,inventory,3,true)</f>
        <v>frozen</v>
      </c>
    </row>
    <row r="331">
      <c r="A331" s="13">
        <v>52.0</v>
      </c>
      <c r="B331" s="14" t="str">
        <f>VLOOKUP(A331,inventory,3,true)</f>
        <v>dairy</v>
      </c>
    </row>
    <row r="332">
      <c r="A332" s="13">
        <v>79.0</v>
      </c>
      <c r="B332" s="14" t="str">
        <f>VLOOKUP(A332,inventory,3,true)</f>
        <v>dry_goods</v>
      </c>
    </row>
    <row r="333">
      <c r="A333" s="13">
        <v>31.0</v>
      </c>
      <c r="B333" s="14" t="str">
        <f>VLOOKUP(A333,inventory,3,true)</f>
        <v>snacks</v>
      </c>
    </row>
    <row r="334">
      <c r="A334" s="13">
        <v>52.0</v>
      </c>
      <c r="B334" s="14" t="str">
        <f>VLOOKUP(A334,inventory,3,true)</f>
        <v>dairy</v>
      </c>
    </row>
    <row r="335">
      <c r="A335" s="13">
        <v>39.0</v>
      </c>
      <c r="B335" s="14" t="str">
        <f>VLOOKUP(A335,inventory,3,true)</f>
        <v>snacks</v>
      </c>
    </row>
    <row r="336">
      <c r="A336" s="13">
        <v>58.0</v>
      </c>
      <c r="B336" s="14" t="str">
        <f>VLOOKUP(A336,inventory,3,true)</f>
        <v>dry_goods</v>
      </c>
    </row>
    <row r="337">
      <c r="A337" s="13">
        <v>15.0</v>
      </c>
      <c r="B337" s="14" t="str">
        <f>VLOOKUP(A337,inventory,3,true)</f>
        <v>snacks</v>
      </c>
    </row>
    <row r="338">
      <c r="A338" s="13">
        <v>71.0</v>
      </c>
      <c r="B338" s="14" t="str">
        <f>VLOOKUP(A338,inventory,3,true)</f>
        <v>dry_goods</v>
      </c>
    </row>
    <row r="339">
      <c r="A339" s="13">
        <v>54.0</v>
      </c>
      <c r="B339" s="14" t="str">
        <f>VLOOKUP(A339,inventory,3,true)</f>
        <v>dairy</v>
      </c>
    </row>
    <row r="340">
      <c r="A340" s="13">
        <v>9.0</v>
      </c>
      <c r="B340" s="14" t="str">
        <f>VLOOKUP(A340,inventory,3,true)</f>
        <v>produce</v>
      </c>
    </row>
    <row r="341">
      <c r="A341" s="13">
        <v>12.0</v>
      </c>
      <c r="B341" s="14" t="str">
        <f>VLOOKUP(A341,inventory,3,true)</f>
        <v>dairy</v>
      </c>
    </row>
    <row r="342">
      <c r="A342" s="13">
        <v>13.0</v>
      </c>
      <c r="B342" s="14" t="str">
        <f>VLOOKUP(A342,inventory,3,true)</f>
        <v>beverages</v>
      </c>
    </row>
    <row r="343">
      <c r="A343" s="13">
        <v>84.0</v>
      </c>
      <c r="B343" s="14" t="str">
        <f>VLOOKUP(A343,inventory,3,true)</f>
        <v>dry_goods</v>
      </c>
    </row>
    <row r="344">
      <c r="A344" s="13">
        <v>65.0</v>
      </c>
      <c r="B344" s="14" t="str">
        <f>VLOOKUP(A344,inventory,3,true)</f>
        <v>produce</v>
      </c>
    </row>
    <row r="345">
      <c r="A345" s="13">
        <v>1.0</v>
      </c>
      <c r="B345" s="14" t="str">
        <f>VLOOKUP(A345,inventory,3,true)</f>
        <v>produce</v>
      </c>
    </row>
    <row r="346">
      <c r="A346" s="13">
        <v>56.0</v>
      </c>
      <c r="B346" s="14" t="str">
        <f>VLOOKUP(A346,inventory,3,true)</f>
        <v>dry_goods</v>
      </c>
    </row>
    <row r="347">
      <c r="A347" s="13">
        <v>54.0</v>
      </c>
      <c r="B347" s="14" t="str">
        <f>VLOOKUP(A347,inventory,3,true)</f>
        <v>dairy</v>
      </c>
    </row>
    <row r="348">
      <c r="A348" s="13">
        <v>64.0</v>
      </c>
      <c r="B348" s="14" t="str">
        <f>VLOOKUP(A348,inventory,3,true)</f>
        <v>produce</v>
      </c>
    </row>
    <row r="349">
      <c r="A349" s="13">
        <v>12.0</v>
      </c>
      <c r="B349" s="14" t="str">
        <f>VLOOKUP(A349,inventory,3,true)</f>
        <v>dairy</v>
      </c>
    </row>
    <row r="350">
      <c r="A350" s="13">
        <v>69.0</v>
      </c>
      <c r="B350" s="14" t="str">
        <f>VLOOKUP(A350,inventory,3,true)</f>
        <v>dry_goods</v>
      </c>
    </row>
    <row r="351">
      <c r="A351" s="13">
        <v>37.0</v>
      </c>
      <c r="B351" s="14" t="str">
        <f>VLOOKUP(A351,inventory,3,true)</f>
        <v>frozen</v>
      </c>
    </row>
    <row r="352">
      <c r="A352" s="13">
        <v>8.0</v>
      </c>
      <c r="B352" s="14" t="str">
        <f>VLOOKUP(A352,inventory,3,true)</f>
        <v>produce</v>
      </c>
    </row>
    <row r="353">
      <c r="A353" s="13">
        <v>8.0</v>
      </c>
      <c r="B353" s="14" t="str">
        <f>VLOOKUP(A353,inventory,3,true)</f>
        <v>produce</v>
      </c>
    </row>
    <row r="354">
      <c r="A354" s="13">
        <v>61.0</v>
      </c>
      <c r="B354" s="14" t="str">
        <f>VLOOKUP(A354,inventory,3,true)</f>
        <v>produce</v>
      </c>
    </row>
    <row r="355">
      <c r="A355" s="13">
        <v>9.0</v>
      </c>
      <c r="B355" s="14" t="str">
        <f>VLOOKUP(A355,inventory,3,true)</f>
        <v>produce</v>
      </c>
    </row>
    <row r="356">
      <c r="A356" s="13">
        <v>29.0</v>
      </c>
      <c r="B356" s="14" t="str">
        <f>VLOOKUP(A356,inventory,3,true)</f>
        <v>dairy</v>
      </c>
    </row>
    <row r="357">
      <c r="A357" s="13">
        <v>72.0</v>
      </c>
      <c r="B357" s="14" t="str">
        <f>VLOOKUP(A357,inventory,3,true)</f>
        <v>dry_goods</v>
      </c>
    </row>
    <row r="358">
      <c r="A358" s="13">
        <v>54.0</v>
      </c>
      <c r="B358" s="14" t="str">
        <f>VLOOKUP(A358,inventory,3,true)</f>
        <v>dairy</v>
      </c>
    </row>
    <row r="359">
      <c r="A359" s="13">
        <v>47.0</v>
      </c>
      <c r="B359" s="14" t="str">
        <f>VLOOKUP(A359,inventory,3,true)</f>
        <v>dairy</v>
      </c>
    </row>
    <row r="360">
      <c r="A360" s="13">
        <v>77.0</v>
      </c>
      <c r="B360" s="14" t="str">
        <f>VLOOKUP(A360,inventory,3,true)</f>
        <v>produce</v>
      </c>
    </row>
    <row r="361">
      <c r="A361" s="13">
        <v>25.0</v>
      </c>
      <c r="B361" s="14" t="str">
        <f>VLOOKUP(A361,inventory,3,true)</f>
        <v>meat</v>
      </c>
    </row>
    <row r="362">
      <c r="A362" s="13">
        <v>78.0</v>
      </c>
      <c r="B362" s="14" t="str">
        <f>VLOOKUP(A362,inventory,3,true)</f>
        <v>dry_goods</v>
      </c>
    </row>
    <row r="363">
      <c r="A363" s="13">
        <v>1.0</v>
      </c>
      <c r="B363" s="14" t="str">
        <f>VLOOKUP(A363,inventory,3,true)</f>
        <v>produce</v>
      </c>
    </row>
    <row r="364">
      <c r="A364" s="13">
        <v>13.0</v>
      </c>
      <c r="B364" s="14" t="str">
        <f>VLOOKUP(A364,inventory,3,true)</f>
        <v>beverages</v>
      </c>
    </row>
    <row r="365">
      <c r="A365" s="13">
        <v>32.0</v>
      </c>
      <c r="B365" s="14" t="str">
        <f>VLOOKUP(A365,inventory,3,true)</f>
        <v>produce</v>
      </c>
    </row>
    <row r="366">
      <c r="A366" s="13">
        <v>40.0</v>
      </c>
      <c r="B366" s="14" t="str">
        <f>VLOOKUP(A366,inventory,3,true)</f>
        <v>frozen</v>
      </c>
    </row>
    <row r="367">
      <c r="A367" s="13">
        <v>55.0</v>
      </c>
      <c r="B367" s="14" t="str">
        <f>VLOOKUP(A367,inventory,3,true)</f>
        <v>dairy</v>
      </c>
    </row>
    <row r="368">
      <c r="A368" s="13">
        <v>61.0</v>
      </c>
      <c r="B368" s="14" t="str">
        <f>VLOOKUP(A368,inventory,3,true)</f>
        <v>produce</v>
      </c>
    </row>
    <row r="369">
      <c r="A369" s="13">
        <v>3.0</v>
      </c>
      <c r="B369" s="14" t="str">
        <f>VLOOKUP(A369,inventory,3,true)</f>
        <v>produce</v>
      </c>
    </row>
    <row r="370">
      <c r="A370" s="13">
        <v>6.0</v>
      </c>
      <c r="B370" s="14" t="str">
        <f>VLOOKUP(A370,inventory,3,true)</f>
        <v>produce</v>
      </c>
    </row>
    <row r="371">
      <c r="A371" s="13">
        <v>62.0</v>
      </c>
      <c r="B371" s="14" t="str">
        <f>VLOOKUP(A371,inventory,3,true)</f>
        <v>dry_goods</v>
      </c>
    </row>
    <row r="372">
      <c r="A372" s="13">
        <v>26.0</v>
      </c>
      <c r="B372" s="14" t="str">
        <f>VLOOKUP(A372,inventory,3,true)</f>
        <v>beverages</v>
      </c>
    </row>
    <row r="373">
      <c r="A373" s="13">
        <v>51.0</v>
      </c>
      <c r="B373" s="14" t="str">
        <f>VLOOKUP(A373,inventory,3,true)</f>
        <v>dairy</v>
      </c>
    </row>
    <row r="374">
      <c r="A374" s="13">
        <v>60.0</v>
      </c>
      <c r="B374" s="14" t="str">
        <f>VLOOKUP(A374,inventory,3,true)</f>
        <v>produce</v>
      </c>
    </row>
    <row r="375">
      <c r="A375" s="13">
        <v>2.0</v>
      </c>
      <c r="B375" s="14" t="str">
        <f>VLOOKUP(A375,inventory,3,true)</f>
        <v>produce</v>
      </c>
    </row>
    <row r="376">
      <c r="A376" s="13">
        <v>31.0</v>
      </c>
      <c r="B376" s="14" t="str">
        <f>VLOOKUP(A376,inventory,3,true)</f>
        <v>snacks</v>
      </c>
    </row>
    <row r="377">
      <c r="A377" s="13">
        <v>58.0</v>
      </c>
      <c r="B377" s="14" t="str">
        <f>VLOOKUP(A377,inventory,3,true)</f>
        <v>dry_goods</v>
      </c>
    </row>
    <row r="378">
      <c r="A378" s="13">
        <v>28.0</v>
      </c>
      <c r="B378" s="14" t="str">
        <f>VLOOKUP(A378,inventory,3,true)</f>
        <v>dry_goods</v>
      </c>
    </row>
    <row r="379">
      <c r="A379" s="13">
        <v>57.0</v>
      </c>
      <c r="B379" s="14" t="str">
        <f>VLOOKUP(A379,inventory,3,true)</f>
        <v>produce</v>
      </c>
    </row>
    <row r="380">
      <c r="A380" s="13">
        <v>63.0</v>
      </c>
      <c r="B380" s="14" t="str">
        <f>VLOOKUP(A380,inventory,3,true)</f>
        <v>produce</v>
      </c>
    </row>
    <row r="381">
      <c r="A381" s="13">
        <v>70.0</v>
      </c>
      <c r="B381" s="14" t="str">
        <f>VLOOKUP(A381,inventory,3,true)</f>
        <v>dry_goods</v>
      </c>
    </row>
    <row r="382">
      <c r="A382" s="13">
        <v>79.0</v>
      </c>
      <c r="B382" s="14" t="str">
        <f>VLOOKUP(A382,inventory,3,true)</f>
        <v>dry_goods</v>
      </c>
    </row>
    <row r="383">
      <c r="A383" s="13">
        <v>39.0</v>
      </c>
      <c r="B383" s="14" t="str">
        <f>VLOOKUP(A383,inventory,3,true)</f>
        <v>snacks</v>
      </c>
    </row>
    <row r="384">
      <c r="A384" s="13">
        <v>65.0</v>
      </c>
      <c r="B384" s="14" t="str">
        <f>VLOOKUP(A384,inventory,3,true)</f>
        <v>produce</v>
      </c>
    </row>
    <row r="385">
      <c r="A385" s="13">
        <v>37.0</v>
      </c>
      <c r="B385" s="14" t="str">
        <f>VLOOKUP(A385,inventory,3,true)</f>
        <v>frozen</v>
      </c>
    </row>
    <row r="386">
      <c r="A386" s="13">
        <v>44.0</v>
      </c>
      <c r="B386" s="14" t="str">
        <f>VLOOKUP(A386,inventory,3,true)</f>
        <v>frozen</v>
      </c>
    </row>
    <row r="387">
      <c r="A387" s="13">
        <v>2.0</v>
      </c>
      <c r="B387" s="14" t="str">
        <f>VLOOKUP(A387,inventory,3,true)</f>
        <v>produce</v>
      </c>
    </row>
    <row r="388">
      <c r="A388" s="13">
        <v>74.0</v>
      </c>
      <c r="B388" s="14" t="str">
        <f>VLOOKUP(A388,inventory,3,true)</f>
        <v>snacks</v>
      </c>
    </row>
    <row r="389">
      <c r="A389" s="13">
        <v>9.0</v>
      </c>
      <c r="B389" s="14" t="str">
        <f>VLOOKUP(A389,inventory,3,true)</f>
        <v>produce</v>
      </c>
    </row>
    <row r="390">
      <c r="A390" s="13">
        <v>78.0</v>
      </c>
      <c r="B390" s="14" t="str">
        <f>VLOOKUP(A390,inventory,3,true)</f>
        <v>dry_goods</v>
      </c>
    </row>
    <row r="391">
      <c r="A391" s="13">
        <v>43.0</v>
      </c>
      <c r="B391" s="14" t="str">
        <f>VLOOKUP(A391,inventory,3,true)</f>
        <v>bread</v>
      </c>
    </row>
    <row r="392">
      <c r="A392" s="13">
        <v>18.0</v>
      </c>
      <c r="B392" s="14" t="str">
        <f>VLOOKUP(A392,inventory,3,true)</f>
        <v>dry_goods</v>
      </c>
    </row>
    <row r="393">
      <c r="A393" s="13">
        <v>46.0</v>
      </c>
      <c r="B393" s="14" t="str">
        <f>VLOOKUP(A393,inventory,3,true)</f>
        <v>frozen</v>
      </c>
    </row>
    <row r="394">
      <c r="A394" s="13">
        <v>82.0</v>
      </c>
      <c r="B394" s="14" t="str">
        <f>VLOOKUP(A394,inventory,3,true)</f>
        <v>dry_goods</v>
      </c>
    </row>
    <row r="395">
      <c r="A395" s="13">
        <v>42.0</v>
      </c>
      <c r="B395" s="14" t="str">
        <f>VLOOKUP(A395,inventory,3,true)</f>
        <v>produce</v>
      </c>
    </row>
    <row r="396">
      <c r="A396" s="13">
        <v>59.0</v>
      </c>
      <c r="B396" s="14" t="str">
        <f>VLOOKUP(A396,inventory,3,true)</f>
        <v>produce</v>
      </c>
    </row>
    <row r="397">
      <c r="A397" s="13">
        <v>71.0</v>
      </c>
      <c r="B397" s="14" t="str">
        <f>VLOOKUP(A397,inventory,3,true)</f>
        <v>dry_goods</v>
      </c>
    </row>
    <row r="398">
      <c r="A398" s="13">
        <v>56.0</v>
      </c>
      <c r="B398" s="14" t="str">
        <f>VLOOKUP(A398,inventory,3,true)</f>
        <v>dry_goods</v>
      </c>
    </row>
    <row r="399">
      <c r="A399" s="13">
        <v>49.0</v>
      </c>
      <c r="B399" s="14" t="str">
        <f>VLOOKUP(A399,inventory,3,true)</f>
        <v>dairy</v>
      </c>
    </row>
    <row r="400">
      <c r="A400" s="13">
        <v>30.0</v>
      </c>
      <c r="B400" s="14" t="str">
        <f>VLOOKUP(A400,inventory,3,true)</f>
        <v>dairy</v>
      </c>
    </row>
    <row r="401">
      <c r="A401" s="13">
        <v>15.0</v>
      </c>
      <c r="B401" s="14" t="str">
        <f>VLOOKUP(A401,inventory,3,true)</f>
        <v>snacks</v>
      </c>
    </row>
    <row r="402">
      <c r="A402" s="13">
        <v>48.0</v>
      </c>
      <c r="B402" s="14" t="str">
        <f>VLOOKUP(A402,inventory,3,true)</f>
        <v>dry_goods</v>
      </c>
    </row>
    <row r="403">
      <c r="A403" s="13">
        <v>79.0</v>
      </c>
      <c r="B403" s="14" t="str">
        <f>VLOOKUP(A403,inventory,3,true)</f>
        <v>dry_goods</v>
      </c>
    </row>
    <row r="404">
      <c r="A404" s="13">
        <v>71.0</v>
      </c>
      <c r="B404" s="14" t="str">
        <f>VLOOKUP(A404,inventory,3,true)</f>
        <v>dry_goods</v>
      </c>
    </row>
    <row r="405">
      <c r="A405" s="13">
        <v>53.0</v>
      </c>
      <c r="B405" s="14" t="str">
        <f>VLOOKUP(A405,inventory,3,true)</f>
        <v>dairy</v>
      </c>
    </row>
    <row r="406">
      <c r="A406" s="13">
        <v>63.0</v>
      </c>
      <c r="B406" s="14" t="str">
        <f>VLOOKUP(A406,inventory,3,true)</f>
        <v>produce</v>
      </c>
    </row>
    <row r="407">
      <c r="A407" s="13">
        <v>77.0</v>
      </c>
      <c r="B407" s="14" t="str">
        <f>VLOOKUP(A407,inventory,3,true)</f>
        <v>produce</v>
      </c>
    </row>
    <row r="408">
      <c r="A408" s="13">
        <v>66.0</v>
      </c>
      <c r="B408" s="14" t="str">
        <f>VLOOKUP(A408,inventory,3,true)</f>
        <v>produce</v>
      </c>
    </row>
    <row r="409">
      <c r="A409" s="13">
        <v>44.0</v>
      </c>
      <c r="B409" s="14" t="str">
        <f>VLOOKUP(A409,inventory,3,true)</f>
        <v>frozen</v>
      </c>
    </row>
    <row r="410">
      <c r="A410" s="13">
        <v>43.0</v>
      </c>
      <c r="B410" s="14" t="str">
        <f>VLOOKUP(A410,inventory,3,true)</f>
        <v>bread</v>
      </c>
    </row>
    <row r="411">
      <c r="A411" s="13">
        <v>39.0</v>
      </c>
      <c r="B411" s="14" t="str">
        <f>VLOOKUP(A411,inventory,3,true)</f>
        <v>snacks</v>
      </c>
    </row>
    <row r="412">
      <c r="A412" s="13">
        <v>51.0</v>
      </c>
      <c r="B412" s="14" t="str">
        <f>VLOOKUP(A412,inventory,3,true)</f>
        <v>dairy</v>
      </c>
    </row>
    <row r="413">
      <c r="A413" s="13">
        <v>22.0</v>
      </c>
      <c r="B413" s="14" t="str">
        <f>VLOOKUP(A413,inventory,3,true)</f>
        <v>meat</v>
      </c>
    </row>
    <row r="414">
      <c r="A414" s="13">
        <v>36.0</v>
      </c>
      <c r="B414" s="16" t="str">
        <f>VLOOKUP(A414,inventory,3,true)</f>
        <v>canned_jarred_goods</v>
      </c>
    </row>
    <row r="415">
      <c r="A415" s="13">
        <v>26.0</v>
      </c>
      <c r="B415" s="14" t="str">
        <f>VLOOKUP(A415,inventory,3,true)</f>
        <v>beverages</v>
      </c>
    </row>
    <row r="416">
      <c r="A416" s="13">
        <v>36.0</v>
      </c>
      <c r="B416" s="16" t="str">
        <f>VLOOKUP(A416,inventory,3,true)</f>
        <v>canned_jarred_goods</v>
      </c>
    </row>
    <row r="417">
      <c r="A417" s="13">
        <v>29.0</v>
      </c>
      <c r="B417" s="14" t="str">
        <f>VLOOKUP(A417,inventory,3,true)</f>
        <v>dairy</v>
      </c>
    </row>
    <row r="418">
      <c r="A418" s="13">
        <v>6.0</v>
      </c>
      <c r="B418" s="14" t="str">
        <f>VLOOKUP(A418,inventory,3,true)</f>
        <v>produce</v>
      </c>
    </row>
    <row r="419">
      <c r="A419" s="13">
        <v>16.0</v>
      </c>
      <c r="B419" s="14" t="str">
        <f>VLOOKUP(A419,inventory,3,true)</f>
        <v>snacks</v>
      </c>
    </row>
    <row r="420">
      <c r="A420" s="13">
        <v>6.0</v>
      </c>
      <c r="B420" s="14" t="str">
        <f>VLOOKUP(A420,inventory,3,true)</f>
        <v>produce</v>
      </c>
    </row>
    <row r="421">
      <c r="A421" s="13">
        <v>11.0</v>
      </c>
      <c r="B421" s="14" t="str">
        <f>VLOOKUP(A421,inventory,3,true)</f>
        <v>produce</v>
      </c>
    </row>
    <row r="422">
      <c r="A422" s="13">
        <v>22.0</v>
      </c>
      <c r="B422" s="14" t="str">
        <f>VLOOKUP(A422,inventory,3,true)</f>
        <v>meat</v>
      </c>
    </row>
    <row r="423">
      <c r="A423" s="13">
        <v>74.0</v>
      </c>
      <c r="B423" s="14" t="str">
        <f>VLOOKUP(A423,inventory,3,true)</f>
        <v>snacks</v>
      </c>
    </row>
    <row r="424">
      <c r="A424" s="13">
        <v>54.0</v>
      </c>
      <c r="B424" s="14" t="str">
        <f>VLOOKUP(A424,inventory,3,true)</f>
        <v>dairy</v>
      </c>
    </row>
    <row r="425">
      <c r="A425" s="13">
        <v>16.0</v>
      </c>
      <c r="B425" s="14" t="str">
        <f>VLOOKUP(A425,inventory,3,true)</f>
        <v>snacks</v>
      </c>
    </row>
    <row r="426">
      <c r="A426" s="13">
        <v>23.0</v>
      </c>
      <c r="B426" s="14" t="str">
        <f>VLOOKUP(A426,inventory,3,true)</f>
        <v>dry_goods</v>
      </c>
    </row>
    <row r="427">
      <c r="A427" s="13">
        <v>4.0</v>
      </c>
      <c r="B427" s="14" t="str">
        <f>VLOOKUP(A427,inventory,3,true)</f>
        <v>produce</v>
      </c>
    </row>
    <row r="428">
      <c r="A428" s="13">
        <v>69.0</v>
      </c>
      <c r="B428" s="14" t="str">
        <f>VLOOKUP(A428,inventory,3,true)</f>
        <v>dry_goods</v>
      </c>
    </row>
    <row r="429">
      <c r="A429" s="13">
        <v>12.0</v>
      </c>
      <c r="B429" s="14" t="str">
        <f>VLOOKUP(A429,inventory,3,true)</f>
        <v>dairy</v>
      </c>
    </row>
    <row r="430">
      <c r="A430" s="13">
        <v>27.0</v>
      </c>
      <c r="B430" s="14" t="str">
        <f>VLOOKUP(A430,inventory,3,true)</f>
        <v>other</v>
      </c>
    </row>
    <row r="431">
      <c r="A431" s="13">
        <v>24.0</v>
      </c>
      <c r="B431" s="14" t="str">
        <f>VLOOKUP(A431,inventory,3,true)</f>
        <v>dry_goods</v>
      </c>
    </row>
    <row r="432">
      <c r="A432" s="13">
        <v>33.0</v>
      </c>
      <c r="B432" s="16" t="str">
        <f>VLOOKUP(A432,inventory,3,true)</f>
        <v>canned_jarred_goods</v>
      </c>
    </row>
    <row r="433">
      <c r="A433" s="13">
        <v>77.0</v>
      </c>
      <c r="B433" s="14" t="str">
        <f>VLOOKUP(A433,inventory,3,true)</f>
        <v>produce</v>
      </c>
    </row>
    <row r="434">
      <c r="A434" s="13">
        <v>40.0</v>
      </c>
      <c r="B434" s="14" t="str">
        <f>VLOOKUP(A434,inventory,3,true)</f>
        <v>frozen</v>
      </c>
    </row>
    <row r="435">
      <c r="A435" s="13">
        <v>78.0</v>
      </c>
      <c r="B435" s="14" t="str">
        <f>VLOOKUP(A435,inventory,3,true)</f>
        <v>dry_goods</v>
      </c>
    </row>
    <row r="436">
      <c r="A436" s="13">
        <v>32.0</v>
      </c>
      <c r="B436" s="14" t="str">
        <f>VLOOKUP(A436,inventory,3,true)</f>
        <v>produce</v>
      </c>
    </row>
    <row r="437">
      <c r="A437" s="13">
        <v>22.0</v>
      </c>
      <c r="B437" s="14" t="str">
        <f>VLOOKUP(A437,inventory,3,true)</f>
        <v>meat</v>
      </c>
    </row>
    <row r="438">
      <c r="A438" s="13">
        <v>73.0</v>
      </c>
      <c r="B438" s="14" t="str">
        <f>VLOOKUP(A438,inventory,3,true)</f>
        <v>snacks</v>
      </c>
    </row>
    <row r="439">
      <c r="A439" s="13">
        <v>62.0</v>
      </c>
      <c r="B439" s="14" t="str">
        <f>VLOOKUP(A439,inventory,3,true)</f>
        <v>dry_goods</v>
      </c>
    </row>
    <row r="440">
      <c r="A440" s="13">
        <v>61.0</v>
      </c>
      <c r="B440" s="14" t="str">
        <f>VLOOKUP(A440,inventory,3,true)</f>
        <v>produce</v>
      </c>
    </row>
    <row r="441">
      <c r="A441" s="13">
        <v>54.0</v>
      </c>
      <c r="B441" s="14" t="str">
        <f>VLOOKUP(A441,inventory,3,true)</f>
        <v>dairy</v>
      </c>
    </row>
    <row r="442">
      <c r="A442" s="13">
        <v>45.0</v>
      </c>
      <c r="B442" s="14" t="str">
        <f>VLOOKUP(A442,inventory,3,true)</f>
        <v>frozen</v>
      </c>
    </row>
    <row r="443">
      <c r="A443" s="13">
        <v>31.0</v>
      </c>
      <c r="B443" s="14" t="str">
        <f>VLOOKUP(A443,inventory,3,true)</f>
        <v>snacks</v>
      </c>
    </row>
    <row r="444">
      <c r="A444" s="13">
        <v>65.0</v>
      </c>
      <c r="B444" s="14" t="str">
        <f>VLOOKUP(A444,inventory,3,true)</f>
        <v>produce</v>
      </c>
    </row>
    <row r="445">
      <c r="A445" s="13">
        <v>32.0</v>
      </c>
      <c r="B445" s="14" t="str">
        <f>VLOOKUP(A445,inventory,3,true)</f>
        <v>produce</v>
      </c>
    </row>
    <row r="446">
      <c r="A446" s="13">
        <v>34.0</v>
      </c>
      <c r="B446" s="16" t="str">
        <f>VLOOKUP(A446,inventory,3,true)</f>
        <v>canned_jarred_goods</v>
      </c>
    </row>
    <row r="447">
      <c r="A447" s="13">
        <v>59.0</v>
      </c>
      <c r="B447" s="14" t="str">
        <f>VLOOKUP(A447,inventory,3,true)</f>
        <v>produce</v>
      </c>
    </row>
    <row r="448">
      <c r="A448" s="13">
        <v>66.0</v>
      </c>
      <c r="B448" s="14" t="str">
        <f>VLOOKUP(A448,inventory,3,true)</f>
        <v>produce</v>
      </c>
    </row>
    <row r="449">
      <c r="A449" s="13">
        <v>34.0</v>
      </c>
      <c r="B449" s="16" t="str">
        <f>VLOOKUP(A449,inventory,3,true)</f>
        <v>canned_jarred_goods</v>
      </c>
    </row>
    <row r="450">
      <c r="A450" s="13">
        <v>60.0</v>
      </c>
      <c r="B450" s="14" t="str">
        <f>VLOOKUP(A450,inventory,3,true)</f>
        <v>produce</v>
      </c>
    </row>
    <row r="451">
      <c r="A451" s="13">
        <v>46.0</v>
      </c>
      <c r="B451" s="14" t="str">
        <f>VLOOKUP(A451,inventory,3,true)</f>
        <v>frozen</v>
      </c>
    </row>
    <row r="452">
      <c r="A452" s="13">
        <v>9.0</v>
      </c>
      <c r="B452" s="14" t="str">
        <f>VLOOKUP(A452,inventory,3,true)</f>
        <v>produce</v>
      </c>
    </row>
    <row r="453">
      <c r="A453" s="13">
        <v>24.0</v>
      </c>
      <c r="B453" s="14" t="str">
        <f>VLOOKUP(A453,inventory,3,true)</f>
        <v>dry_goods</v>
      </c>
    </row>
    <row r="454">
      <c r="A454" s="13">
        <v>81.0</v>
      </c>
      <c r="B454" s="14" t="str">
        <f>VLOOKUP(A454,inventory,3,true)</f>
        <v>dry_goods</v>
      </c>
    </row>
    <row r="455">
      <c r="A455" s="13">
        <v>80.0</v>
      </c>
      <c r="B455" s="14" t="str">
        <f>VLOOKUP(A455,inventory,3,true)</f>
        <v>dry_goods</v>
      </c>
    </row>
    <row r="456">
      <c r="A456" s="13">
        <v>43.0</v>
      </c>
      <c r="B456" s="14" t="str">
        <f>VLOOKUP(A456,inventory,3,true)</f>
        <v>bread</v>
      </c>
    </row>
    <row r="457">
      <c r="A457" s="13">
        <v>67.0</v>
      </c>
      <c r="B457" s="14" t="str">
        <f>VLOOKUP(A457,inventory,3,true)</f>
        <v>dry_goods</v>
      </c>
    </row>
    <row r="458">
      <c r="A458" s="13">
        <v>60.0</v>
      </c>
      <c r="B458" s="14" t="str">
        <f>VLOOKUP(A458,inventory,3,true)</f>
        <v>produce</v>
      </c>
    </row>
    <row r="459">
      <c r="A459" s="13">
        <v>14.0</v>
      </c>
      <c r="B459" s="14" t="str">
        <f>VLOOKUP(A459,inventory,3,true)</f>
        <v>snacks</v>
      </c>
    </row>
    <row r="460">
      <c r="A460" s="13">
        <v>27.0</v>
      </c>
      <c r="B460" s="14" t="str">
        <f>VLOOKUP(A460,inventory,3,true)</f>
        <v>other</v>
      </c>
    </row>
    <row r="461">
      <c r="A461" s="13">
        <v>41.0</v>
      </c>
      <c r="B461" s="14" t="str">
        <f>VLOOKUP(A461,inventory,3,true)</f>
        <v>frozen</v>
      </c>
    </row>
    <row r="462">
      <c r="A462" s="13">
        <v>22.0</v>
      </c>
      <c r="B462" s="14" t="str">
        <f>VLOOKUP(A462,inventory,3,true)</f>
        <v>meat</v>
      </c>
    </row>
    <row r="463">
      <c r="A463" s="13">
        <v>51.0</v>
      </c>
      <c r="B463" s="14" t="str">
        <f>VLOOKUP(A463,inventory,3,true)</f>
        <v>dairy</v>
      </c>
    </row>
    <row r="464">
      <c r="A464" s="13">
        <v>29.0</v>
      </c>
      <c r="B464" s="14" t="str">
        <f>VLOOKUP(A464,inventory,3,true)</f>
        <v>dairy</v>
      </c>
    </row>
    <row r="465">
      <c r="A465" s="13">
        <v>67.0</v>
      </c>
      <c r="B465" s="14" t="str">
        <f>VLOOKUP(A465,inventory,3,true)</f>
        <v>dry_goods</v>
      </c>
    </row>
    <row r="466">
      <c r="A466" s="13">
        <v>58.0</v>
      </c>
      <c r="B466" s="14" t="str">
        <f>VLOOKUP(A466,inventory,3,true)</f>
        <v>dry_goods</v>
      </c>
    </row>
    <row r="467">
      <c r="A467" s="13">
        <v>70.0</v>
      </c>
      <c r="B467" s="14" t="str">
        <f>VLOOKUP(A467,inventory,3,true)</f>
        <v>dry_goods</v>
      </c>
    </row>
    <row r="468">
      <c r="A468" s="13">
        <v>41.0</v>
      </c>
      <c r="B468" s="14" t="str">
        <f>VLOOKUP(A468,inventory,3,true)</f>
        <v>frozen</v>
      </c>
    </row>
    <row r="469">
      <c r="A469" s="13">
        <v>84.0</v>
      </c>
      <c r="B469" s="14" t="str">
        <f>VLOOKUP(A469,inventory,3,true)</f>
        <v>dry_goods</v>
      </c>
    </row>
    <row r="470">
      <c r="A470" s="13">
        <v>14.0</v>
      </c>
      <c r="B470" s="14" t="str">
        <f>VLOOKUP(A470,inventory,3,true)</f>
        <v>snacks</v>
      </c>
    </row>
    <row r="471">
      <c r="A471" s="13">
        <v>26.0</v>
      </c>
      <c r="B471" s="14" t="str">
        <f>VLOOKUP(A471,inventory,3,true)</f>
        <v>beverages</v>
      </c>
    </row>
    <row r="472">
      <c r="A472" s="13">
        <v>36.0</v>
      </c>
      <c r="B472" s="16" t="str">
        <f>VLOOKUP(A472,inventory,3,true)</f>
        <v>canned_jarred_goods</v>
      </c>
    </row>
    <row r="473">
      <c r="A473" s="13">
        <v>11.0</v>
      </c>
      <c r="B473" s="14" t="str">
        <f>VLOOKUP(A473,inventory,3,true)</f>
        <v>produce</v>
      </c>
    </row>
    <row r="474">
      <c r="A474" s="13">
        <v>83.0</v>
      </c>
      <c r="B474" s="14" t="str">
        <f>VLOOKUP(A474,inventory,3,true)</f>
        <v>snacks</v>
      </c>
    </row>
    <row r="475">
      <c r="A475" s="13">
        <v>82.0</v>
      </c>
      <c r="B475" s="14" t="str">
        <f>VLOOKUP(A475,inventory,3,true)</f>
        <v>dry_goods</v>
      </c>
    </row>
    <row r="476">
      <c r="A476" s="13">
        <v>45.0</v>
      </c>
      <c r="B476" s="14" t="str">
        <f>VLOOKUP(A476,inventory,3,true)</f>
        <v>frozen</v>
      </c>
    </row>
    <row r="477">
      <c r="A477" s="13">
        <v>68.0</v>
      </c>
      <c r="B477" s="14" t="str">
        <f>VLOOKUP(A477,inventory,3,true)</f>
        <v>produce</v>
      </c>
    </row>
    <row r="478">
      <c r="A478" s="13">
        <v>23.0</v>
      </c>
      <c r="B478" s="14" t="str">
        <f>VLOOKUP(A478,inventory,3,true)</f>
        <v>dry_goods</v>
      </c>
    </row>
    <row r="479">
      <c r="A479" s="13">
        <v>60.0</v>
      </c>
      <c r="B479" s="14" t="str">
        <f>VLOOKUP(A479,inventory,3,true)</f>
        <v>produce</v>
      </c>
    </row>
    <row r="480">
      <c r="A480" s="13">
        <v>70.0</v>
      </c>
      <c r="B480" s="14" t="str">
        <f>VLOOKUP(A480,inventory,3,true)</f>
        <v>dry_goods</v>
      </c>
    </row>
    <row r="481">
      <c r="A481" s="13">
        <v>4.0</v>
      </c>
      <c r="B481" s="14" t="str">
        <f>VLOOKUP(A481,inventory,3,true)</f>
        <v>produce</v>
      </c>
    </row>
    <row r="482">
      <c r="A482" s="13">
        <v>22.0</v>
      </c>
      <c r="B482" s="14" t="str">
        <f>VLOOKUP(A482,inventory,3,true)</f>
        <v>meat</v>
      </c>
    </row>
    <row r="483">
      <c r="A483" s="13">
        <v>13.0</v>
      </c>
      <c r="B483" s="14" t="str">
        <f>VLOOKUP(A483,inventory,3,true)</f>
        <v>beverages</v>
      </c>
    </row>
    <row r="484">
      <c r="A484" s="13">
        <v>40.0</v>
      </c>
      <c r="B484" s="14" t="str">
        <f>VLOOKUP(A484,inventory,3,true)</f>
        <v>frozen</v>
      </c>
    </row>
    <row r="485">
      <c r="A485" s="13">
        <v>60.0</v>
      </c>
      <c r="B485" s="14" t="str">
        <f>VLOOKUP(A485,inventory,3,true)</f>
        <v>produce</v>
      </c>
    </row>
    <row r="486">
      <c r="A486" s="13">
        <v>41.0</v>
      </c>
      <c r="B486" s="14" t="str">
        <f>VLOOKUP(A486,inventory,3,true)</f>
        <v>frozen</v>
      </c>
    </row>
    <row r="487">
      <c r="A487" s="13">
        <v>33.0</v>
      </c>
      <c r="B487" s="16" t="str">
        <f>VLOOKUP(A487,inventory,3,true)</f>
        <v>canned_jarred_goods</v>
      </c>
    </row>
    <row r="488">
      <c r="A488" s="13">
        <v>56.0</v>
      </c>
      <c r="B488" s="14" t="str">
        <f>VLOOKUP(A488,inventory,3,true)</f>
        <v>dry_goods</v>
      </c>
    </row>
    <row r="489">
      <c r="A489" s="13">
        <v>72.0</v>
      </c>
      <c r="B489" s="14" t="str">
        <f>VLOOKUP(A489,inventory,3,true)</f>
        <v>dry_goods</v>
      </c>
    </row>
    <row r="490">
      <c r="A490" s="13">
        <v>32.0</v>
      </c>
      <c r="B490" s="14" t="str">
        <f>VLOOKUP(A490,inventory,3,true)</f>
        <v>produce</v>
      </c>
    </row>
    <row r="491">
      <c r="A491" s="13">
        <v>27.0</v>
      </c>
      <c r="B491" s="14" t="str">
        <f>VLOOKUP(A491,inventory,3,true)</f>
        <v>other</v>
      </c>
    </row>
    <row r="492">
      <c r="A492" s="13">
        <v>40.0</v>
      </c>
      <c r="B492" s="14" t="str">
        <f>VLOOKUP(A492,inventory,3,true)</f>
        <v>frozen</v>
      </c>
    </row>
    <row r="493">
      <c r="A493" s="13">
        <v>36.0</v>
      </c>
      <c r="B493" s="16" t="str">
        <f>VLOOKUP(A493,inventory,3,true)</f>
        <v>canned_jarred_goods</v>
      </c>
    </row>
    <row r="494">
      <c r="A494" s="13">
        <v>12.0</v>
      </c>
      <c r="B494" s="14" t="str">
        <f>VLOOKUP(A494,inventory,3,true)</f>
        <v>dairy</v>
      </c>
    </row>
    <row r="495">
      <c r="A495" s="13">
        <v>52.0</v>
      </c>
      <c r="B495" s="14" t="str">
        <f>VLOOKUP(A495,inventory,3,true)</f>
        <v>dairy</v>
      </c>
    </row>
    <row r="496">
      <c r="A496" s="13">
        <v>52.0</v>
      </c>
      <c r="B496" s="14" t="str">
        <f>VLOOKUP(A496,inventory,3,true)</f>
        <v>dairy</v>
      </c>
    </row>
    <row r="497">
      <c r="A497" s="13">
        <v>33.0</v>
      </c>
      <c r="B497" s="16" t="str">
        <f>VLOOKUP(A497,inventory,3,true)</f>
        <v>canned_jarred_goods</v>
      </c>
    </row>
    <row r="498">
      <c r="A498" s="13">
        <v>45.0</v>
      </c>
      <c r="B498" s="14" t="str">
        <f>VLOOKUP(A498,inventory,3,true)</f>
        <v>frozen</v>
      </c>
    </row>
    <row r="499">
      <c r="A499" s="13">
        <v>14.0</v>
      </c>
      <c r="B499" s="14" t="str">
        <f>VLOOKUP(A499,inventory,3,true)</f>
        <v>snacks</v>
      </c>
    </row>
    <row r="500">
      <c r="A500" s="13">
        <v>2.0</v>
      </c>
      <c r="B500" s="14" t="str">
        <f>VLOOKUP(A500,inventory,3,true)</f>
        <v>produce</v>
      </c>
    </row>
    <row r="501">
      <c r="A501" s="13">
        <v>15.0</v>
      </c>
      <c r="B501" s="14" t="str">
        <f>VLOOKUP(A501,inventory,3,true)</f>
        <v>snacks</v>
      </c>
    </row>
    <row r="502">
      <c r="A502" s="13">
        <v>84.0</v>
      </c>
      <c r="B502" s="14" t="str">
        <f>VLOOKUP(A502,inventory,3,true)</f>
        <v>dry_goods</v>
      </c>
    </row>
    <row r="503">
      <c r="A503" s="13">
        <v>77.0</v>
      </c>
      <c r="B503" s="14" t="str">
        <f>VLOOKUP(A503,inventory,3,true)</f>
        <v>produce</v>
      </c>
    </row>
    <row r="504">
      <c r="A504" s="13">
        <v>41.0</v>
      </c>
      <c r="B504" s="14" t="str">
        <f>VLOOKUP(A504,inventory,3,true)</f>
        <v>frozen</v>
      </c>
    </row>
    <row r="505">
      <c r="A505" s="13">
        <v>8.0</v>
      </c>
      <c r="B505" s="14" t="str">
        <f>VLOOKUP(A505,inventory,3,true)</f>
        <v>produce</v>
      </c>
    </row>
    <row r="506">
      <c r="A506" s="13">
        <v>36.0</v>
      </c>
      <c r="B506" s="16" t="str">
        <f>VLOOKUP(A506,inventory,3,true)</f>
        <v>canned_jarred_goods</v>
      </c>
    </row>
    <row r="507">
      <c r="A507" s="13">
        <v>16.0</v>
      </c>
      <c r="B507" s="14" t="str">
        <f>VLOOKUP(A507,inventory,3,true)</f>
        <v>snacks</v>
      </c>
    </row>
    <row r="508">
      <c r="A508" s="13">
        <v>65.0</v>
      </c>
      <c r="B508" s="14" t="str">
        <f>VLOOKUP(A508,inventory,3,true)</f>
        <v>produce</v>
      </c>
    </row>
    <row r="509">
      <c r="A509" s="13">
        <v>32.0</v>
      </c>
      <c r="B509" s="14" t="str">
        <f>VLOOKUP(A509,inventory,3,true)</f>
        <v>produce</v>
      </c>
    </row>
    <row r="510">
      <c r="A510" s="13">
        <v>54.0</v>
      </c>
      <c r="B510" s="14" t="str">
        <f>VLOOKUP(A510,inventory,3,true)</f>
        <v>dairy</v>
      </c>
    </row>
    <row r="511">
      <c r="A511" s="13">
        <v>52.0</v>
      </c>
      <c r="B511" s="14" t="str">
        <f>VLOOKUP(A511,inventory,3,true)</f>
        <v>dairy</v>
      </c>
    </row>
    <row r="512">
      <c r="A512" s="13">
        <v>40.0</v>
      </c>
      <c r="B512" s="14" t="str">
        <f>VLOOKUP(A512,inventory,3,true)</f>
        <v>frozen</v>
      </c>
    </row>
    <row r="513">
      <c r="A513" s="13">
        <v>20.0</v>
      </c>
      <c r="B513" s="14" t="str">
        <f>VLOOKUP(A513,inventory,3,true)</f>
        <v>snacks</v>
      </c>
    </row>
    <row r="514">
      <c r="A514" s="13">
        <v>12.0</v>
      </c>
      <c r="B514" s="14" t="str">
        <f>VLOOKUP(A514,inventory,3,true)</f>
        <v>dairy</v>
      </c>
    </row>
    <row r="515">
      <c r="A515" s="13">
        <v>68.0</v>
      </c>
      <c r="B515" s="14" t="str">
        <f>VLOOKUP(A515,inventory,3,true)</f>
        <v>produce</v>
      </c>
    </row>
    <row r="516">
      <c r="A516" s="13">
        <v>19.0</v>
      </c>
      <c r="B516" s="14" t="str">
        <f>VLOOKUP(A516,inventory,3,true)</f>
        <v>snacks</v>
      </c>
    </row>
    <row r="517">
      <c r="A517" s="13">
        <v>26.0</v>
      </c>
      <c r="B517" s="14" t="str">
        <f>VLOOKUP(A517,inventory,3,true)</f>
        <v>beverages</v>
      </c>
    </row>
    <row r="518">
      <c r="A518" s="13">
        <v>70.0</v>
      </c>
      <c r="B518" s="14" t="str">
        <f>VLOOKUP(A518,inventory,3,true)</f>
        <v>dry_goods</v>
      </c>
    </row>
    <row r="519">
      <c r="A519" s="13">
        <v>16.0</v>
      </c>
      <c r="B519" s="14" t="str">
        <f>VLOOKUP(A519,inventory,3,true)</f>
        <v>snacks</v>
      </c>
    </row>
    <row r="520">
      <c r="A520" s="13">
        <v>79.0</v>
      </c>
      <c r="B520" s="14" t="str">
        <f>VLOOKUP(A520,inventory,3,true)</f>
        <v>dry_goods</v>
      </c>
    </row>
    <row r="521">
      <c r="A521" s="13">
        <v>15.0</v>
      </c>
      <c r="B521" s="14" t="str">
        <f>VLOOKUP(A521,inventory,3,true)</f>
        <v>snacks</v>
      </c>
    </row>
    <row r="522">
      <c r="A522" s="13">
        <v>38.0</v>
      </c>
      <c r="B522" s="14" t="str">
        <f>VLOOKUP(A522,inventory,3,true)</f>
        <v>frozen</v>
      </c>
    </row>
    <row r="523">
      <c r="A523" s="13">
        <v>61.0</v>
      </c>
      <c r="B523" s="14" t="str">
        <f>VLOOKUP(A523,inventory,3,true)</f>
        <v>produce</v>
      </c>
    </row>
    <row r="524">
      <c r="A524" s="13">
        <v>32.0</v>
      </c>
      <c r="B524" s="14" t="str">
        <f>VLOOKUP(A524,inventory,3,true)</f>
        <v>produce</v>
      </c>
    </row>
    <row r="525">
      <c r="A525" s="13">
        <v>8.0</v>
      </c>
      <c r="B525" s="14" t="str">
        <f>VLOOKUP(A525,inventory,3,true)</f>
        <v>produce</v>
      </c>
    </row>
    <row r="526">
      <c r="A526" s="13">
        <v>41.0</v>
      </c>
      <c r="B526" s="14" t="str">
        <f>VLOOKUP(A526,inventory,3,true)</f>
        <v>frozen</v>
      </c>
    </row>
    <row r="527">
      <c r="A527" s="13">
        <v>10.0</v>
      </c>
      <c r="B527" s="14" t="str">
        <f>VLOOKUP(A527,inventory,3,true)</f>
        <v>produce</v>
      </c>
    </row>
    <row r="528">
      <c r="A528" s="13">
        <v>28.0</v>
      </c>
      <c r="B528" s="14" t="str">
        <f>VLOOKUP(A528,inventory,3,true)</f>
        <v>dry_goods</v>
      </c>
    </row>
    <row r="529">
      <c r="A529" s="13">
        <v>32.0</v>
      </c>
      <c r="B529" s="14" t="str">
        <f>VLOOKUP(A529,inventory,3,true)</f>
        <v>produce</v>
      </c>
    </row>
    <row r="530">
      <c r="A530" s="13">
        <v>22.0</v>
      </c>
      <c r="B530" s="14" t="str">
        <f>VLOOKUP(A530,inventory,3,true)</f>
        <v>meat</v>
      </c>
    </row>
    <row r="531">
      <c r="A531" s="13">
        <v>41.0</v>
      </c>
      <c r="B531" s="14" t="str">
        <f>VLOOKUP(A531,inventory,3,true)</f>
        <v>frozen</v>
      </c>
    </row>
    <row r="532">
      <c r="A532" s="13">
        <v>21.0</v>
      </c>
      <c r="B532" s="14" t="str">
        <f>VLOOKUP(A532,inventory,3,true)</f>
        <v>snacks</v>
      </c>
    </row>
    <row r="533">
      <c r="A533" s="13">
        <v>78.0</v>
      </c>
      <c r="B533" s="14" t="str">
        <f>VLOOKUP(A533,inventory,3,true)</f>
        <v>dry_goods</v>
      </c>
    </row>
    <row r="534">
      <c r="A534" s="13">
        <v>55.0</v>
      </c>
      <c r="B534" s="14" t="str">
        <f>VLOOKUP(A534,inventory,3,true)</f>
        <v>dairy</v>
      </c>
    </row>
    <row r="535">
      <c r="A535" s="13">
        <v>11.0</v>
      </c>
      <c r="B535" s="14" t="str">
        <f>VLOOKUP(A535,inventory,3,true)</f>
        <v>produce</v>
      </c>
    </row>
    <row r="536">
      <c r="A536" s="13">
        <v>32.0</v>
      </c>
      <c r="B536" s="14" t="str">
        <f>VLOOKUP(A536,inventory,3,true)</f>
        <v>produce</v>
      </c>
    </row>
    <row r="537">
      <c r="A537" s="13">
        <v>47.0</v>
      </c>
      <c r="B537" s="14" t="str">
        <f>VLOOKUP(A537,inventory,3,true)</f>
        <v>dairy</v>
      </c>
    </row>
    <row r="538">
      <c r="A538" s="13">
        <v>20.0</v>
      </c>
      <c r="B538" s="14" t="str">
        <f>VLOOKUP(A538,inventory,3,true)</f>
        <v>snacks</v>
      </c>
    </row>
    <row r="539">
      <c r="A539" s="13">
        <v>66.0</v>
      </c>
      <c r="B539" s="14" t="str">
        <f>VLOOKUP(A539,inventory,3,true)</f>
        <v>produce</v>
      </c>
    </row>
    <row r="540">
      <c r="A540" s="13">
        <v>40.0</v>
      </c>
      <c r="B540" s="14" t="str">
        <f>VLOOKUP(A540,inventory,3,true)</f>
        <v>frozen</v>
      </c>
    </row>
    <row r="541">
      <c r="A541" s="13">
        <v>36.0</v>
      </c>
      <c r="B541" s="16" t="str">
        <f>VLOOKUP(A541,inventory,3,true)</f>
        <v>canned_jarred_goods</v>
      </c>
    </row>
    <row r="542">
      <c r="A542" s="13">
        <v>9.0</v>
      </c>
      <c r="B542" s="14" t="str">
        <f>VLOOKUP(A542,inventory,3,true)</f>
        <v>produce</v>
      </c>
    </row>
    <row r="543">
      <c r="A543" s="13">
        <v>66.0</v>
      </c>
      <c r="B543" s="14" t="str">
        <f>VLOOKUP(A543,inventory,3,true)</f>
        <v>produce</v>
      </c>
    </row>
    <row r="544">
      <c r="A544" s="13">
        <v>17.0</v>
      </c>
      <c r="B544" s="14" t="str">
        <f>VLOOKUP(A544,inventory,3,true)</f>
        <v>other</v>
      </c>
    </row>
    <row r="545">
      <c r="A545" s="13">
        <v>42.0</v>
      </c>
      <c r="B545" s="14" t="str">
        <f>VLOOKUP(A545,inventory,3,true)</f>
        <v>produce</v>
      </c>
    </row>
    <row r="546">
      <c r="A546" s="13">
        <v>17.0</v>
      </c>
      <c r="B546" s="14" t="str">
        <f>VLOOKUP(A546,inventory,3,true)</f>
        <v>other</v>
      </c>
    </row>
    <row r="547">
      <c r="A547" s="13">
        <v>52.0</v>
      </c>
      <c r="B547" s="14" t="str">
        <f>VLOOKUP(A547,inventory,3,true)</f>
        <v>dairy</v>
      </c>
    </row>
    <row r="548">
      <c r="A548" s="13">
        <v>59.0</v>
      </c>
      <c r="B548" s="14" t="str">
        <f>VLOOKUP(A548,inventory,3,true)</f>
        <v>produce</v>
      </c>
    </row>
    <row r="549">
      <c r="A549" s="13">
        <v>66.0</v>
      </c>
      <c r="B549" s="14" t="str">
        <f>VLOOKUP(A549,inventory,3,true)</f>
        <v>produce</v>
      </c>
    </row>
    <row r="550">
      <c r="A550" s="13">
        <v>82.0</v>
      </c>
      <c r="B550" s="14" t="str">
        <f>VLOOKUP(A550,inventory,3,true)</f>
        <v>dry_goods</v>
      </c>
    </row>
    <row r="551">
      <c r="A551" s="13">
        <v>1.0</v>
      </c>
      <c r="B551" s="14" t="str">
        <f>VLOOKUP(A551,inventory,3,true)</f>
        <v>produce</v>
      </c>
    </row>
    <row r="552">
      <c r="A552" s="13">
        <v>12.0</v>
      </c>
      <c r="B552" s="14" t="str">
        <f>VLOOKUP(A552,inventory,3,true)</f>
        <v>dairy</v>
      </c>
    </row>
    <row r="553">
      <c r="A553" s="13">
        <v>79.0</v>
      </c>
      <c r="B553" s="14" t="str">
        <f>VLOOKUP(A553,inventory,3,true)</f>
        <v>dry_goods</v>
      </c>
    </row>
    <row r="554">
      <c r="A554" s="13">
        <v>1.0</v>
      </c>
      <c r="B554" s="14" t="str">
        <f>VLOOKUP(A554,inventory,3,true)</f>
        <v>produce</v>
      </c>
    </row>
    <row r="555">
      <c r="A555" s="13">
        <v>11.0</v>
      </c>
      <c r="B555" s="14" t="str">
        <f>VLOOKUP(A555,inventory,3,true)</f>
        <v>produce</v>
      </c>
    </row>
    <row r="556">
      <c r="A556" s="13">
        <v>70.0</v>
      </c>
      <c r="B556" s="14" t="str">
        <f>VLOOKUP(A556,inventory,3,true)</f>
        <v>dry_goods</v>
      </c>
    </row>
    <row r="557">
      <c r="A557" s="13">
        <v>43.0</v>
      </c>
      <c r="B557" s="14" t="str">
        <f>VLOOKUP(A557,inventory,3,true)</f>
        <v>bread</v>
      </c>
    </row>
    <row r="558">
      <c r="A558" s="13">
        <v>26.0</v>
      </c>
      <c r="B558" s="14" t="str">
        <f>VLOOKUP(A558,inventory,3,true)</f>
        <v>beverages</v>
      </c>
    </row>
    <row r="559">
      <c r="A559" s="13">
        <v>72.0</v>
      </c>
      <c r="B559" s="14" t="str">
        <f>VLOOKUP(A559,inventory,3,true)</f>
        <v>dry_goods</v>
      </c>
    </row>
    <row r="560">
      <c r="A560" s="13">
        <v>78.0</v>
      </c>
      <c r="B560" s="14" t="str">
        <f>VLOOKUP(A560,inventory,3,true)</f>
        <v>dry_goods</v>
      </c>
    </row>
    <row r="561">
      <c r="A561" s="13">
        <v>16.0</v>
      </c>
      <c r="B561" s="14" t="str">
        <f>VLOOKUP(A561,inventory,3,true)</f>
        <v>snacks</v>
      </c>
    </row>
    <row r="562">
      <c r="A562" s="13">
        <v>9.0</v>
      </c>
      <c r="B562" s="14" t="str">
        <f>VLOOKUP(A562,inventory,3,true)</f>
        <v>produce</v>
      </c>
    </row>
    <row r="563">
      <c r="A563" s="13">
        <v>83.0</v>
      </c>
      <c r="B563" s="14" t="str">
        <f>VLOOKUP(A563,inventory,3,true)</f>
        <v>snacks</v>
      </c>
    </row>
    <row r="564">
      <c r="A564" s="13">
        <v>8.0</v>
      </c>
      <c r="B564" s="14" t="str">
        <f>VLOOKUP(A564,inventory,3,true)</f>
        <v>produce</v>
      </c>
    </row>
    <row r="565">
      <c r="A565" s="13">
        <v>43.0</v>
      </c>
      <c r="B565" s="14" t="str">
        <f>VLOOKUP(A565,inventory,3,true)</f>
        <v>bread</v>
      </c>
    </row>
    <row r="566">
      <c r="A566" s="13">
        <v>55.0</v>
      </c>
      <c r="B566" s="14" t="str">
        <f>VLOOKUP(A566,inventory,3,true)</f>
        <v>dairy</v>
      </c>
    </row>
    <row r="567">
      <c r="A567" s="13">
        <v>46.0</v>
      </c>
      <c r="B567" s="14" t="str">
        <f>VLOOKUP(A567,inventory,3,true)</f>
        <v>frozen</v>
      </c>
    </row>
    <row r="568">
      <c r="A568" s="13">
        <v>80.0</v>
      </c>
      <c r="B568" s="14" t="str">
        <f>VLOOKUP(A568,inventory,3,true)</f>
        <v>dry_goods</v>
      </c>
    </row>
    <row r="569">
      <c r="A569" s="13">
        <v>53.0</v>
      </c>
      <c r="B569" s="14" t="str">
        <f>VLOOKUP(A569,inventory,3,true)</f>
        <v>dairy</v>
      </c>
    </row>
    <row r="570">
      <c r="A570" s="13">
        <v>45.0</v>
      </c>
      <c r="B570" s="14" t="str">
        <f>VLOOKUP(A570,inventory,3,true)</f>
        <v>frozen</v>
      </c>
    </row>
    <row r="571">
      <c r="A571" s="13">
        <v>23.0</v>
      </c>
      <c r="B571" s="14" t="str">
        <f>VLOOKUP(A571,inventory,3,true)</f>
        <v>dry_goods</v>
      </c>
    </row>
    <row r="572">
      <c r="A572" s="13">
        <v>52.0</v>
      </c>
      <c r="B572" s="14" t="str">
        <f>VLOOKUP(A572,inventory,3,true)</f>
        <v>dairy</v>
      </c>
    </row>
    <row r="573">
      <c r="A573" s="13">
        <v>57.0</v>
      </c>
      <c r="B573" s="14" t="str">
        <f>VLOOKUP(A573,inventory,3,true)</f>
        <v>produce</v>
      </c>
    </row>
    <row r="574">
      <c r="A574" s="13">
        <v>7.0</v>
      </c>
      <c r="B574" s="14" t="str">
        <f>VLOOKUP(A574,inventory,3,true)</f>
        <v>produce</v>
      </c>
    </row>
    <row r="575">
      <c r="A575" s="13">
        <v>17.0</v>
      </c>
      <c r="B575" s="14" t="str">
        <f>VLOOKUP(A575,inventory,3,true)</f>
        <v>other</v>
      </c>
    </row>
    <row r="576">
      <c r="A576" s="13">
        <v>64.0</v>
      </c>
      <c r="B576" s="14" t="str">
        <f>VLOOKUP(A576,inventory,3,true)</f>
        <v>produce</v>
      </c>
    </row>
    <row r="577">
      <c r="A577" s="13">
        <v>80.0</v>
      </c>
      <c r="B577" s="14" t="str">
        <f>VLOOKUP(A577,inventory,3,true)</f>
        <v>dry_goods</v>
      </c>
    </row>
    <row r="578">
      <c r="A578" s="13">
        <v>41.0</v>
      </c>
      <c r="B578" s="14" t="str">
        <f>VLOOKUP(A578,inventory,3,true)</f>
        <v>frozen</v>
      </c>
    </row>
    <row r="579">
      <c r="A579" s="13">
        <v>74.0</v>
      </c>
      <c r="B579" s="14" t="str">
        <f>VLOOKUP(A579,inventory,3,true)</f>
        <v>snacks</v>
      </c>
    </row>
    <row r="580">
      <c r="A580" s="13">
        <v>7.0</v>
      </c>
      <c r="B580" s="14" t="str">
        <f>VLOOKUP(A580,inventory,3,true)</f>
        <v>produce</v>
      </c>
    </row>
    <row r="581">
      <c r="A581" s="13">
        <v>72.0</v>
      </c>
      <c r="B581" s="14" t="str">
        <f>VLOOKUP(A581,inventory,3,true)</f>
        <v>dry_goods</v>
      </c>
    </row>
    <row r="582">
      <c r="A582" s="13">
        <v>3.0</v>
      </c>
      <c r="B582" s="14" t="str">
        <f>VLOOKUP(A582,inventory,3,true)</f>
        <v>produce</v>
      </c>
    </row>
    <row r="583">
      <c r="A583" s="13">
        <v>77.0</v>
      </c>
      <c r="B583" s="14" t="str">
        <f>VLOOKUP(A583,inventory,3,true)</f>
        <v>produce</v>
      </c>
    </row>
    <row r="584">
      <c r="A584" s="13">
        <v>60.0</v>
      </c>
      <c r="B584" s="14" t="str">
        <f>VLOOKUP(A584,inventory,3,true)</f>
        <v>produce</v>
      </c>
    </row>
    <row r="585">
      <c r="A585" s="13">
        <v>26.0</v>
      </c>
      <c r="B585" s="14" t="str">
        <f>VLOOKUP(A585,inventory,3,true)</f>
        <v>beverages</v>
      </c>
    </row>
    <row r="586">
      <c r="A586" s="13">
        <v>54.0</v>
      </c>
      <c r="B586" s="14" t="str">
        <f>VLOOKUP(A586,inventory,3,true)</f>
        <v>dairy</v>
      </c>
    </row>
    <row r="587">
      <c r="A587" s="13">
        <v>84.0</v>
      </c>
      <c r="B587" s="14" t="str">
        <f>VLOOKUP(A587,inventory,3,true)</f>
        <v>dry_goods</v>
      </c>
    </row>
    <row r="588">
      <c r="A588" s="13">
        <v>39.0</v>
      </c>
      <c r="B588" s="14" t="str">
        <f>VLOOKUP(A588,inventory,3,true)</f>
        <v>snacks</v>
      </c>
    </row>
    <row r="589">
      <c r="A589" s="13">
        <v>26.0</v>
      </c>
      <c r="B589" s="14" t="str">
        <f>VLOOKUP(A589,inventory,3,true)</f>
        <v>beverages</v>
      </c>
    </row>
    <row r="590">
      <c r="A590" s="13">
        <v>65.0</v>
      </c>
      <c r="B590" s="14" t="str">
        <f>VLOOKUP(A590,inventory,3,true)</f>
        <v>produce</v>
      </c>
    </row>
    <row r="591">
      <c r="A591" s="13">
        <v>2.0</v>
      </c>
      <c r="B591" s="14" t="str">
        <f>VLOOKUP(A591,inventory,3,true)</f>
        <v>produce</v>
      </c>
    </row>
    <row r="592">
      <c r="A592" s="13">
        <v>39.0</v>
      </c>
      <c r="B592" s="14" t="str">
        <f>VLOOKUP(A592,inventory,3,true)</f>
        <v>snacks</v>
      </c>
    </row>
    <row r="593">
      <c r="A593" s="13">
        <v>64.0</v>
      </c>
      <c r="B593" s="14" t="str">
        <f>VLOOKUP(A593,inventory,3,true)</f>
        <v>produce</v>
      </c>
    </row>
    <row r="594">
      <c r="A594" s="13">
        <v>12.0</v>
      </c>
      <c r="B594" s="14" t="str">
        <f>VLOOKUP(A594,inventory,3,true)</f>
        <v>dairy</v>
      </c>
    </row>
    <row r="595">
      <c r="A595" s="13">
        <v>64.0</v>
      </c>
      <c r="B595" s="14" t="str">
        <f>VLOOKUP(A595,inventory,3,true)</f>
        <v>produce</v>
      </c>
    </row>
    <row r="596">
      <c r="A596" s="13">
        <v>30.0</v>
      </c>
      <c r="B596" s="14" t="str">
        <f>VLOOKUP(A596,inventory,3,true)</f>
        <v>dairy</v>
      </c>
    </row>
    <row r="597">
      <c r="A597" s="13">
        <v>84.0</v>
      </c>
      <c r="B597" s="14" t="str">
        <f>VLOOKUP(A597,inventory,3,true)</f>
        <v>dry_goods</v>
      </c>
    </row>
    <row r="598">
      <c r="A598" s="13">
        <v>18.0</v>
      </c>
      <c r="B598" s="14" t="str">
        <f>VLOOKUP(A598,inventory,3,true)</f>
        <v>dry_goods</v>
      </c>
    </row>
  </sheetData>
  <mergeCells count="2">
    <mergeCell ref="A1:D1"/>
    <mergeCell ref="A2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20.43"/>
    <col customWidth="1" min="4" max="4" width="28.29"/>
    <col customWidth="1" min="6" max="6" width="15.0"/>
    <col customWidth="1" min="7" max="7" width="17.57"/>
  </cols>
  <sheetData>
    <row r="1">
      <c r="A1" s="17" t="s">
        <v>115</v>
      </c>
      <c r="B1" s="18"/>
      <c r="D1" s="17" t="s">
        <v>116</v>
      </c>
      <c r="E1" s="19"/>
      <c r="F1" s="19"/>
      <c r="G1" s="19"/>
    </row>
    <row r="3">
      <c r="A3" s="2" t="s">
        <v>117</v>
      </c>
      <c r="B3" s="2" t="s">
        <v>118</v>
      </c>
      <c r="D3" s="2" t="s">
        <v>119</v>
      </c>
      <c r="E3" s="2" t="s">
        <v>120</v>
      </c>
      <c r="G3" s="2" t="s">
        <v>119</v>
      </c>
      <c r="H3" s="2" t="s">
        <v>120</v>
      </c>
    </row>
    <row r="4">
      <c r="A4" s="4">
        <v>3.0</v>
      </c>
      <c r="B4" s="4">
        <f>VLOOKUP(Transactions!C2, Inventory_data!$A$1:$G$86, 5, True)</f>
        <v>1.02</v>
      </c>
      <c r="D4" s="4" t="s">
        <v>52</v>
      </c>
      <c r="E4" s="4">
        <v>39.99</v>
      </c>
      <c r="G4" s="4" t="s">
        <v>52</v>
      </c>
      <c r="H4" s="4">
        <v>39.99</v>
      </c>
    </row>
    <row r="5">
      <c r="A5" s="4">
        <v>61.0</v>
      </c>
      <c r="B5" s="4">
        <f>VLOOKUP(Transactions!C3, Inventory_data!$A$1:$G$86, 5, True)</f>
        <v>0.55</v>
      </c>
      <c r="D5" s="4" t="s">
        <v>49</v>
      </c>
      <c r="E5" s="4">
        <v>19.59</v>
      </c>
      <c r="G5" s="4" t="s">
        <v>49</v>
      </c>
      <c r="H5" s="4">
        <v>19.59</v>
      </c>
    </row>
    <row r="6">
      <c r="A6" s="4">
        <v>23.0</v>
      </c>
      <c r="B6" s="4">
        <f>VLOOKUP(Transactions!C4, Inventory_data!$A$1:$G$86, 5, True)</f>
        <v>0.91</v>
      </c>
      <c r="D6" s="4" t="s">
        <v>73</v>
      </c>
      <c r="E6" s="4">
        <v>16.99</v>
      </c>
      <c r="G6" s="4" t="s">
        <v>73</v>
      </c>
      <c r="H6" s="4">
        <v>16.99</v>
      </c>
    </row>
    <row r="7">
      <c r="A7" s="4">
        <v>52.0</v>
      </c>
      <c r="B7" s="4">
        <f>VLOOKUP(Transactions!C5, Inventory_data!$A$1:$G$86, 5, True)</f>
        <v>1.79</v>
      </c>
      <c r="D7" s="4" t="s">
        <v>54</v>
      </c>
      <c r="E7" s="4">
        <v>6.0</v>
      </c>
    </row>
    <row r="8">
      <c r="A8" s="4">
        <v>4.0</v>
      </c>
      <c r="B8" s="4">
        <f>VLOOKUP(Transactions!C6, Inventory_data!$A$1:$G$86, 5, True)</f>
        <v>1.19</v>
      </c>
      <c r="D8" s="4" t="s">
        <v>69</v>
      </c>
      <c r="E8" s="4">
        <v>5.99</v>
      </c>
    </row>
    <row r="9">
      <c r="A9" s="4">
        <v>76.0</v>
      </c>
      <c r="B9" s="4">
        <f>VLOOKUP(Transactions!C7, Inventory_data!$A$1:$G$86, 5, True)</f>
        <v>0.69</v>
      </c>
      <c r="D9" s="4" t="s">
        <v>71</v>
      </c>
      <c r="E9" s="4">
        <v>4.99</v>
      </c>
    </row>
    <row r="10">
      <c r="A10" s="4">
        <v>45.0</v>
      </c>
      <c r="B10" s="4">
        <f>VLOOKUP(Transactions!C8, Inventory_data!$A$1:$G$86, 5, True)</f>
        <v>1.29</v>
      </c>
      <c r="D10" s="4" t="s">
        <v>35</v>
      </c>
      <c r="E10" s="4">
        <v>4.89</v>
      </c>
    </row>
    <row r="11">
      <c r="A11" s="4">
        <v>17.0</v>
      </c>
      <c r="B11" s="4">
        <f>VLOOKUP(Transactions!C9, Inventory_data!$A$1:$G$86, 5, True)</f>
        <v>2.67</v>
      </c>
      <c r="D11" s="4" t="s">
        <v>86</v>
      </c>
      <c r="E11" s="4">
        <v>4.29</v>
      </c>
    </row>
    <row r="12">
      <c r="A12" s="4">
        <v>31.0</v>
      </c>
      <c r="B12" s="4">
        <f>VLOOKUP(Transactions!C10, Inventory_data!$A$1:$G$86, 5, True)</f>
        <v>0.61</v>
      </c>
      <c r="D12" s="4" t="s">
        <v>32</v>
      </c>
      <c r="E12" s="4">
        <v>3.99</v>
      </c>
    </row>
    <row r="13">
      <c r="A13" s="4">
        <v>21.0</v>
      </c>
      <c r="B13" s="4">
        <f>VLOOKUP(Transactions!C11, Inventory_data!$A$1:$G$86, 5, True)</f>
        <v>2.59</v>
      </c>
      <c r="D13" s="4" t="s">
        <v>29</v>
      </c>
      <c r="E13" s="4">
        <v>3.86</v>
      </c>
    </row>
    <row r="14">
      <c r="A14" s="4">
        <v>47.0</v>
      </c>
      <c r="B14" s="4">
        <f>VLOOKUP(Transactions!C12, Inventory_data!$A$1:$G$86, 5, True)</f>
        <v>1.17</v>
      </c>
      <c r="D14" s="4" t="s">
        <v>84</v>
      </c>
      <c r="E14" s="4">
        <v>3.6</v>
      </c>
    </row>
    <row r="15">
      <c r="A15" s="4">
        <v>44.0</v>
      </c>
      <c r="B15" s="4">
        <f>VLOOKUP(Transactions!C13, Inventory_data!$A$1:$G$86, 5, True)</f>
        <v>4.99</v>
      </c>
      <c r="D15" s="4" t="s">
        <v>90</v>
      </c>
      <c r="E15" s="4">
        <v>3.57</v>
      </c>
    </row>
    <row r="16">
      <c r="A16" s="4">
        <v>8.0</v>
      </c>
      <c r="B16" s="4">
        <f>VLOOKUP(Transactions!C14, Inventory_data!$A$1:$G$86, 5, True)</f>
        <v>3.99</v>
      </c>
      <c r="D16" s="4" t="s">
        <v>64</v>
      </c>
      <c r="E16" s="4">
        <v>3.52</v>
      </c>
    </row>
    <row r="17">
      <c r="A17" s="4">
        <v>60.0</v>
      </c>
      <c r="B17" s="4">
        <f>VLOOKUP(Transactions!C15, Inventory_data!$A$1:$G$86, 5, True)</f>
        <v>2.06</v>
      </c>
      <c r="D17" s="4" t="s">
        <v>107</v>
      </c>
      <c r="E17" s="4">
        <v>3.49</v>
      </c>
    </row>
    <row r="18">
      <c r="A18" s="4">
        <v>38.0</v>
      </c>
      <c r="B18" s="4">
        <f>VLOOKUP(Transactions!C16, Inventory_data!$A$1:$G$86, 5, True)</f>
        <v>1.19</v>
      </c>
      <c r="D18" s="4" t="s">
        <v>106</v>
      </c>
      <c r="E18" s="4">
        <v>3.3</v>
      </c>
    </row>
    <row r="19">
      <c r="A19" s="4">
        <v>64.0</v>
      </c>
      <c r="B19" s="4">
        <f>VLOOKUP(Transactions!C17, Inventory_data!$A$1:$G$86, 5, True)</f>
        <v>1.22</v>
      </c>
      <c r="D19" s="4" t="s">
        <v>23</v>
      </c>
      <c r="E19" s="4">
        <v>3.28</v>
      </c>
    </row>
    <row r="20">
      <c r="A20" s="4">
        <v>12.0</v>
      </c>
      <c r="B20" s="4">
        <f>VLOOKUP(Transactions!C18, Inventory_data!$A$1:$G$86, 5, True)</f>
        <v>1.15</v>
      </c>
      <c r="D20" s="4" t="s">
        <v>109</v>
      </c>
      <c r="E20" s="4">
        <v>3.08</v>
      </c>
    </row>
    <row r="21">
      <c r="A21" s="4">
        <v>14.0</v>
      </c>
      <c r="B21" s="4">
        <f>VLOOKUP(Transactions!C19, Inventory_data!$A$1:$G$86, 5, True)</f>
        <v>0.53</v>
      </c>
      <c r="D21" s="4" t="s">
        <v>59</v>
      </c>
      <c r="E21" s="6">
        <v>2.99</v>
      </c>
    </row>
    <row r="22">
      <c r="A22" s="4">
        <v>17.0</v>
      </c>
      <c r="B22" s="4">
        <f>VLOOKUP(Transactions!C20, Inventory_data!$A$1:$G$86, 5, True)</f>
        <v>2.67</v>
      </c>
      <c r="D22" s="4" t="s">
        <v>108</v>
      </c>
      <c r="E22" s="4">
        <v>2.99</v>
      </c>
    </row>
    <row r="23">
      <c r="A23" s="4">
        <v>70.0</v>
      </c>
      <c r="B23" s="4">
        <f>VLOOKUP(Transactions!C21, Inventory_data!$A$1:$G$86, 5, True)</f>
        <v>0.19</v>
      </c>
      <c r="D23" s="4" t="s">
        <v>43</v>
      </c>
      <c r="E23" s="4">
        <v>2.67</v>
      </c>
    </row>
    <row r="24">
      <c r="A24" s="4">
        <v>10.0</v>
      </c>
      <c r="B24" s="4">
        <f>VLOOKUP(Transactions!C22, Inventory_data!$A$1:$G$86, 5, True)</f>
        <v>0.96</v>
      </c>
      <c r="D24" s="4" t="s">
        <v>104</v>
      </c>
      <c r="E24" s="4">
        <v>2.67</v>
      </c>
    </row>
    <row r="25">
      <c r="A25" s="4">
        <v>18.0</v>
      </c>
      <c r="B25" s="4">
        <f>VLOOKUP(Transactions!C23, Inventory_data!$A$1:$G$86, 5, True)</f>
        <v>0.67</v>
      </c>
      <c r="D25" s="4" t="s">
        <v>111</v>
      </c>
      <c r="E25" s="4">
        <v>2.59</v>
      </c>
    </row>
    <row r="26">
      <c r="A26" s="4">
        <v>77.0</v>
      </c>
      <c r="B26" s="4">
        <f>VLOOKUP(Transactions!C24, Inventory_data!$A$1:$G$86, 5, True)</f>
        <v>2.67</v>
      </c>
      <c r="D26" s="4" t="s">
        <v>48</v>
      </c>
      <c r="E26" s="4">
        <v>2.59</v>
      </c>
    </row>
    <row r="27">
      <c r="A27" s="4">
        <v>25.0</v>
      </c>
      <c r="B27" s="4">
        <f>VLOOKUP(Transactions!C25, Inventory_data!$A$1:$G$86, 5, True)</f>
        <v>39.99</v>
      </c>
      <c r="D27" s="4" t="s">
        <v>31</v>
      </c>
      <c r="E27" s="4">
        <v>2.54</v>
      </c>
    </row>
    <row r="28">
      <c r="A28" s="4">
        <v>47.0</v>
      </c>
      <c r="B28" s="4">
        <f>VLOOKUP(Transactions!C26, Inventory_data!$A$1:$G$86, 5, True)</f>
        <v>1.17</v>
      </c>
      <c r="D28" s="4" t="s">
        <v>42</v>
      </c>
      <c r="E28" s="6">
        <v>2.43</v>
      </c>
    </row>
    <row r="29">
      <c r="A29" s="4">
        <v>36.0</v>
      </c>
      <c r="B29" s="4">
        <f>VLOOKUP(Transactions!C27, Inventory_data!$A$1:$G$86, 5, True)</f>
        <v>1.12</v>
      </c>
      <c r="D29" s="4" t="s">
        <v>87</v>
      </c>
      <c r="E29" s="4">
        <v>2.06</v>
      </c>
    </row>
    <row r="30">
      <c r="A30" s="4">
        <v>10.0</v>
      </c>
      <c r="B30" s="4">
        <f>VLOOKUP(Transactions!C28, Inventory_data!$A$1:$G$86, 5, True)</f>
        <v>0.96</v>
      </c>
      <c r="D30" s="4" t="s">
        <v>79</v>
      </c>
      <c r="E30" s="4">
        <v>1.79</v>
      </c>
    </row>
    <row r="31">
      <c r="A31" s="4">
        <v>66.0</v>
      </c>
      <c r="B31" s="4">
        <f>VLOOKUP(Transactions!C29, Inventory_data!$A$1:$G$86, 5, True)</f>
        <v>1.12</v>
      </c>
      <c r="D31" s="4" t="s">
        <v>94</v>
      </c>
      <c r="E31" s="6">
        <v>1.74</v>
      </c>
    </row>
    <row r="32">
      <c r="A32" s="4">
        <v>21.0</v>
      </c>
      <c r="B32" s="4">
        <f>VLOOKUP(Transactions!C30, Inventory_data!$A$1:$G$86, 5, True)</f>
        <v>2.59</v>
      </c>
      <c r="D32" s="4" t="s">
        <v>80</v>
      </c>
      <c r="E32" s="6">
        <v>1.69</v>
      </c>
    </row>
    <row r="33">
      <c r="A33" s="4">
        <v>42.0</v>
      </c>
      <c r="B33" s="4">
        <f>VLOOKUP(Transactions!C31, Inventory_data!$A$1:$G$86, 5, True)</f>
        <v>5.99</v>
      </c>
      <c r="D33" s="4" t="s">
        <v>30</v>
      </c>
      <c r="E33" s="4">
        <v>1.69</v>
      </c>
    </row>
    <row r="34">
      <c r="A34" s="4">
        <v>56.0</v>
      </c>
      <c r="B34" s="4">
        <f>VLOOKUP(Transactions!C32, Inventory_data!$A$1:$G$86, 5, True)</f>
        <v>0.86</v>
      </c>
      <c r="D34" s="4" t="s">
        <v>26</v>
      </c>
      <c r="E34" s="6">
        <v>1.44</v>
      </c>
    </row>
    <row r="35">
      <c r="A35" s="4">
        <v>29.0</v>
      </c>
      <c r="B35" s="4">
        <f>VLOOKUP(Transactions!C33, Inventory_data!$A$1:$G$86, 5, True)</f>
        <v>0.63</v>
      </c>
      <c r="D35" s="4" t="s">
        <v>105</v>
      </c>
      <c r="E35" s="4">
        <v>1.44</v>
      </c>
    </row>
    <row r="36">
      <c r="A36" s="4">
        <v>36.0</v>
      </c>
      <c r="B36" s="4">
        <f>VLOOKUP(Transactions!C34, Inventory_data!$A$1:$G$86, 5, True)</f>
        <v>1.12</v>
      </c>
      <c r="D36" s="4" t="s">
        <v>62</v>
      </c>
      <c r="E36" s="4">
        <v>1.39</v>
      </c>
    </row>
    <row r="37">
      <c r="A37" s="4">
        <v>41.0</v>
      </c>
      <c r="B37" s="4">
        <f>VLOOKUP(Transactions!C35, Inventory_data!$A$1:$G$86, 5, True)</f>
        <v>1.09</v>
      </c>
      <c r="D37" s="4" t="s">
        <v>92</v>
      </c>
      <c r="E37" s="4">
        <v>1.32</v>
      </c>
    </row>
    <row r="38">
      <c r="A38" s="4">
        <v>22.0</v>
      </c>
      <c r="B38" s="4">
        <f>VLOOKUP(Transactions!C36, Inventory_data!$A$1:$G$86, 5, True)</f>
        <v>19.59</v>
      </c>
      <c r="D38" s="4" t="s">
        <v>72</v>
      </c>
      <c r="E38" s="4">
        <v>1.29</v>
      </c>
    </row>
    <row r="39">
      <c r="A39" s="4">
        <v>73.0</v>
      </c>
      <c r="B39" s="4">
        <f>VLOOKUP(Transactions!C37, Inventory_data!$A$1:$G$86, 5, True)</f>
        <v>0.69</v>
      </c>
      <c r="D39" s="4" t="s">
        <v>81</v>
      </c>
      <c r="E39" s="6">
        <v>1.23</v>
      </c>
    </row>
    <row r="40">
      <c r="A40" s="4">
        <v>41.0</v>
      </c>
      <c r="B40" s="4">
        <f>VLOOKUP(Transactions!C38, Inventory_data!$A$1:$G$86, 5, True)</f>
        <v>1.09</v>
      </c>
      <c r="D40" s="4" t="s">
        <v>91</v>
      </c>
      <c r="E40" s="4">
        <v>1.22</v>
      </c>
    </row>
    <row r="41">
      <c r="A41" s="4">
        <v>76.0</v>
      </c>
      <c r="B41" s="4">
        <f>VLOOKUP(Transactions!C39, Inventory_data!$A$1:$G$86, 5, True)</f>
        <v>0.69</v>
      </c>
      <c r="D41" s="4" t="s">
        <v>28</v>
      </c>
      <c r="E41" s="4">
        <v>1.19</v>
      </c>
    </row>
    <row r="42">
      <c r="A42" s="4">
        <v>71.0</v>
      </c>
      <c r="B42" s="4">
        <f>VLOOKUP(Transactions!C40, Inventory_data!$A$1:$G$86, 5, True)</f>
        <v>0.24</v>
      </c>
      <c r="D42" s="4" t="s">
        <v>65</v>
      </c>
      <c r="E42" s="4">
        <v>1.19</v>
      </c>
    </row>
    <row r="43">
      <c r="A43" s="4">
        <v>6.0</v>
      </c>
      <c r="B43" s="4">
        <f>VLOOKUP(Transactions!C41, Inventory_data!$A$1:$G$86, 5, True)</f>
        <v>1.69</v>
      </c>
      <c r="D43" s="4" t="s">
        <v>89</v>
      </c>
      <c r="E43" s="4">
        <v>1.17</v>
      </c>
    </row>
    <row r="44">
      <c r="A44" s="4">
        <v>6.0</v>
      </c>
      <c r="B44" s="4">
        <f>VLOOKUP(Transactions!C42, Inventory_data!$A$1:$G$86, 5, True)</f>
        <v>1.69</v>
      </c>
      <c r="D44" s="4" t="s">
        <v>74</v>
      </c>
      <c r="E44" s="4">
        <v>1.17</v>
      </c>
    </row>
    <row r="45">
      <c r="A45" s="4">
        <v>29.0</v>
      </c>
      <c r="B45" s="4">
        <f>VLOOKUP(Transactions!C43, Inventory_data!$A$1:$G$86, 5, True)</f>
        <v>0.63</v>
      </c>
      <c r="D45" s="4" t="s">
        <v>67</v>
      </c>
      <c r="E45" s="4">
        <v>1.17</v>
      </c>
    </row>
    <row r="46">
      <c r="A46" s="4">
        <v>10.0</v>
      </c>
      <c r="B46" s="4">
        <f>VLOOKUP(Transactions!C44, Inventory_data!$A$1:$G$86, 5, True)</f>
        <v>0.96</v>
      </c>
      <c r="D46" s="4" t="s">
        <v>36</v>
      </c>
      <c r="E46" s="4">
        <v>1.15</v>
      </c>
    </row>
    <row r="47">
      <c r="A47" s="4">
        <v>47.0</v>
      </c>
      <c r="B47" s="4">
        <f>VLOOKUP(Transactions!C45, Inventory_data!$A$1:$G$86, 5, True)</f>
        <v>1.17</v>
      </c>
      <c r="D47" s="4" t="s">
        <v>63</v>
      </c>
      <c r="E47" s="4">
        <v>1.12</v>
      </c>
    </row>
    <row r="48">
      <c r="A48" s="4">
        <v>68.0</v>
      </c>
      <c r="B48" s="4">
        <f>VLOOKUP(Transactions!C46, Inventory_data!$A$1:$G$86, 5, True)</f>
        <v>0.67</v>
      </c>
      <c r="D48" s="4" t="s">
        <v>93</v>
      </c>
      <c r="E48" s="4">
        <v>1.12</v>
      </c>
    </row>
    <row r="49">
      <c r="A49" s="4">
        <v>52.0</v>
      </c>
      <c r="B49" s="4">
        <f>VLOOKUP(Transactions!C47, Inventory_data!$A$1:$G$86, 5, True)</f>
        <v>1.79</v>
      </c>
      <c r="D49" s="4" t="s">
        <v>47</v>
      </c>
      <c r="E49" s="4">
        <v>1.11</v>
      </c>
    </row>
    <row r="50">
      <c r="A50" s="4">
        <v>41.0</v>
      </c>
      <c r="B50" s="4">
        <f>VLOOKUP(Transactions!C48, Inventory_data!$A$1:$G$86, 5, True)</f>
        <v>1.09</v>
      </c>
      <c r="D50" s="4" t="s">
        <v>82</v>
      </c>
      <c r="E50" s="4">
        <v>1.1</v>
      </c>
    </row>
    <row r="51">
      <c r="A51" s="4">
        <v>14.0</v>
      </c>
      <c r="B51" s="4">
        <f>VLOOKUP(Transactions!C49, Inventory_data!$A$1:$G$86, 5, True)</f>
        <v>0.53</v>
      </c>
      <c r="D51" s="4" t="s">
        <v>68</v>
      </c>
      <c r="E51" s="4">
        <v>1.09</v>
      </c>
    </row>
    <row r="52">
      <c r="A52" s="4">
        <v>27.0</v>
      </c>
      <c r="B52" s="4">
        <f>VLOOKUP(Transactions!C50, Inventory_data!$A$1:$G$86, 5, True)</f>
        <v>6</v>
      </c>
      <c r="D52" s="4" t="s">
        <v>27</v>
      </c>
      <c r="E52" s="4">
        <v>1.02</v>
      </c>
    </row>
    <row r="53">
      <c r="A53" s="4">
        <v>67.0</v>
      </c>
      <c r="B53" s="4">
        <f>VLOOKUP(Transactions!C51, Inventory_data!$A$1:$G$86, 5, True)</f>
        <v>1.74</v>
      </c>
      <c r="D53" s="4" t="s">
        <v>70</v>
      </c>
      <c r="E53" s="4">
        <v>0.99</v>
      </c>
    </row>
    <row r="54">
      <c r="A54" s="4">
        <v>13.0</v>
      </c>
      <c r="B54" s="4">
        <f>VLOOKUP(Transactions!C52, Inventory_data!$A$1:$G$86, 5, True)</f>
        <v>0.38</v>
      </c>
      <c r="D54" s="4" t="s">
        <v>60</v>
      </c>
      <c r="E54" s="4">
        <v>0.97</v>
      </c>
    </row>
    <row r="55">
      <c r="A55" s="4">
        <v>55.0</v>
      </c>
      <c r="B55" s="4">
        <f>VLOOKUP(Transactions!C53, Inventory_data!$A$1:$G$86, 5, True)</f>
        <v>1.1</v>
      </c>
      <c r="D55" s="4" t="s">
        <v>34</v>
      </c>
      <c r="E55" s="4">
        <v>0.96</v>
      </c>
    </row>
    <row r="56">
      <c r="A56" s="4">
        <v>69.0</v>
      </c>
      <c r="B56" s="4">
        <f>VLOOKUP(Transactions!C54, Inventory_data!$A$1:$G$86, 5, True)</f>
        <v>0.27</v>
      </c>
      <c r="D56" s="4" t="s">
        <v>85</v>
      </c>
      <c r="E56" s="4">
        <v>0.96</v>
      </c>
    </row>
    <row r="57">
      <c r="A57" s="4">
        <v>54.0</v>
      </c>
      <c r="B57" s="4">
        <f>VLOOKUP(Transactions!C55, Inventory_data!$A$1:$G$86, 5, True)</f>
        <v>1.23</v>
      </c>
      <c r="D57" s="4" t="s">
        <v>33</v>
      </c>
      <c r="E57" s="4">
        <v>0.96</v>
      </c>
    </row>
    <row r="58">
      <c r="A58" s="4">
        <v>3.0</v>
      </c>
      <c r="B58" s="4">
        <f>VLOOKUP(Transactions!C56, Inventory_data!$A$1:$G$86, 5, True)</f>
        <v>1.02</v>
      </c>
      <c r="D58" s="4" t="s">
        <v>61</v>
      </c>
      <c r="E58" s="4">
        <v>0.95</v>
      </c>
    </row>
    <row r="59">
      <c r="A59" s="4">
        <v>83.0</v>
      </c>
      <c r="B59" s="4">
        <f>VLOOKUP(Transactions!C57, Inventory_data!$A$1:$G$86, 5, True)</f>
        <v>0.39</v>
      </c>
      <c r="D59" s="4" t="s">
        <v>57</v>
      </c>
      <c r="E59" s="4">
        <v>0.91</v>
      </c>
    </row>
    <row r="60">
      <c r="A60" s="4">
        <v>26.0</v>
      </c>
      <c r="B60" s="4">
        <f>VLOOKUP(Transactions!C58, Inventory_data!$A$1:$G$86, 5, True)</f>
        <v>0.25</v>
      </c>
      <c r="D60" s="4" t="s">
        <v>50</v>
      </c>
      <c r="E60" s="4">
        <v>0.91</v>
      </c>
    </row>
    <row r="61">
      <c r="A61" s="4">
        <v>22.0</v>
      </c>
      <c r="B61" s="4">
        <f>VLOOKUP(Transactions!C59, Inventory_data!$A$1:$G$86, 5, True)</f>
        <v>19.59</v>
      </c>
      <c r="D61" s="4" t="s">
        <v>78</v>
      </c>
      <c r="E61" s="4">
        <v>0.89</v>
      </c>
    </row>
    <row r="62">
      <c r="A62" s="4">
        <v>5.0</v>
      </c>
      <c r="B62" s="4">
        <f>VLOOKUP(Transactions!C60, Inventory_data!$A$1:$G$86, 5, True)</f>
        <v>3.86</v>
      </c>
      <c r="D62" s="4" t="s">
        <v>75</v>
      </c>
      <c r="E62" s="4">
        <v>0.89</v>
      </c>
    </row>
    <row r="63">
      <c r="A63" s="4">
        <v>32.0</v>
      </c>
      <c r="B63" s="4">
        <f>VLOOKUP(Transactions!C61, Inventory_data!$A$1:$G$86, 5, True)</f>
        <v>2.99</v>
      </c>
      <c r="D63" s="4" t="s">
        <v>83</v>
      </c>
      <c r="E63" s="4">
        <v>0.86</v>
      </c>
    </row>
    <row r="64">
      <c r="A64" s="4">
        <v>47.0</v>
      </c>
      <c r="B64" s="4">
        <f>VLOOKUP(Transactions!C62, Inventory_data!$A$1:$G$86, 5, True)</f>
        <v>1.17</v>
      </c>
      <c r="D64" s="4" t="s">
        <v>77</v>
      </c>
      <c r="E64" s="4">
        <v>0.77</v>
      </c>
    </row>
    <row r="65">
      <c r="A65" s="4">
        <v>51.0</v>
      </c>
      <c r="B65" s="4">
        <f>VLOOKUP(Transactions!C63, Inventory_data!$A$1:$G$86, 5, True)</f>
        <v>0.89</v>
      </c>
      <c r="D65" s="4" t="s">
        <v>101</v>
      </c>
      <c r="E65" s="4">
        <v>0.75</v>
      </c>
    </row>
    <row r="66">
      <c r="A66" s="4">
        <v>40.0</v>
      </c>
      <c r="B66" s="4">
        <f>VLOOKUP(Transactions!C64, Inventory_data!$A$1:$G$86, 5, True)</f>
        <v>1.17</v>
      </c>
      <c r="D66" s="4" t="s">
        <v>100</v>
      </c>
      <c r="E66" s="4">
        <v>0.69</v>
      </c>
    </row>
    <row r="67">
      <c r="A67" s="4">
        <v>48.0</v>
      </c>
      <c r="B67" s="4">
        <f>VLOOKUP(Transactions!C65, Inventory_data!$A$1:$G$86, 5, True)</f>
        <v>0.89</v>
      </c>
      <c r="D67" s="4" t="s">
        <v>103</v>
      </c>
      <c r="E67" s="4">
        <v>0.69</v>
      </c>
    </row>
    <row r="68">
      <c r="A68" s="4">
        <v>28.0</v>
      </c>
      <c r="B68" s="4">
        <f>VLOOKUP(Transactions!C66, Inventory_data!$A$1:$G$86, 5, True)</f>
        <v>0.69</v>
      </c>
      <c r="D68" s="4" t="s">
        <v>55</v>
      </c>
      <c r="E68" s="4">
        <v>0.69</v>
      </c>
    </row>
    <row r="69">
      <c r="A69" s="4">
        <v>68.0</v>
      </c>
      <c r="B69" s="4">
        <f>VLOOKUP(Transactions!C67, Inventory_data!$A$1:$G$86, 5, True)</f>
        <v>0.67</v>
      </c>
      <c r="D69" s="4" t="s">
        <v>45</v>
      </c>
      <c r="E69" s="4">
        <v>0.67</v>
      </c>
    </row>
    <row r="70">
      <c r="A70" s="4">
        <v>3.0</v>
      </c>
      <c r="B70" s="4">
        <f>VLOOKUP(Transactions!C68, Inventory_data!$A$1:$G$86, 5, True)</f>
        <v>1.02</v>
      </c>
      <c r="D70" s="4" t="s">
        <v>95</v>
      </c>
      <c r="E70" s="4">
        <v>0.67</v>
      </c>
    </row>
    <row r="71">
      <c r="A71" s="4">
        <v>65.0</v>
      </c>
      <c r="B71" s="4">
        <f>VLOOKUP(Transactions!C69, Inventory_data!$A$1:$G$86, 5, True)</f>
        <v>1.32</v>
      </c>
      <c r="D71" s="4" t="s">
        <v>76</v>
      </c>
      <c r="E71" s="4">
        <v>0.67</v>
      </c>
    </row>
    <row r="72">
      <c r="A72" s="4">
        <v>7.0</v>
      </c>
      <c r="B72" s="4">
        <f>VLOOKUP(Transactions!C70, Inventory_data!$A$1:$G$86, 5, True)</f>
        <v>2.54</v>
      </c>
      <c r="D72" s="4" t="s">
        <v>56</v>
      </c>
      <c r="E72" s="6">
        <v>0.63</v>
      </c>
    </row>
    <row r="73">
      <c r="A73" s="4">
        <v>67.0</v>
      </c>
      <c r="B73" s="4">
        <f>VLOOKUP(Transactions!C71, Inventory_data!$A$1:$G$86, 5, True)</f>
        <v>1.74</v>
      </c>
      <c r="D73" s="4" t="s">
        <v>58</v>
      </c>
      <c r="E73" s="6">
        <v>0.61</v>
      </c>
    </row>
    <row r="74">
      <c r="A74" s="4">
        <v>7.0</v>
      </c>
      <c r="B74" s="4">
        <f>VLOOKUP(Transactions!C72, Inventory_data!$A$1:$G$86, 5, True)</f>
        <v>2.54</v>
      </c>
      <c r="D74" s="4" t="s">
        <v>66</v>
      </c>
      <c r="E74" s="4">
        <v>0.59</v>
      </c>
    </row>
    <row r="75">
      <c r="A75" s="4">
        <v>3.0</v>
      </c>
      <c r="B75" s="4">
        <f>VLOOKUP(Transactions!C73, Inventory_data!$A$1:$G$86, 5, True)</f>
        <v>1.02</v>
      </c>
      <c r="D75" s="4" t="s">
        <v>102</v>
      </c>
      <c r="E75" s="4">
        <v>0.57</v>
      </c>
    </row>
    <row r="76">
      <c r="A76" s="4">
        <v>72.0</v>
      </c>
      <c r="B76" s="4">
        <f>VLOOKUP(Transactions!C74, Inventory_data!$A$1:$G$86, 5, True)</f>
        <v>0.27</v>
      </c>
      <c r="D76" s="4" t="s">
        <v>51</v>
      </c>
      <c r="E76" s="4">
        <v>0.56</v>
      </c>
    </row>
    <row r="77">
      <c r="A77" s="4">
        <v>84.0</v>
      </c>
      <c r="B77" s="4">
        <f>VLOOKUP(Transactions!C75, Inventory_data!$A$1:$G$86, 5, True)</f>
        <v>2.59</v>
      </c>
      <c r="D77" s="4" t="s">
        <v>88</v>
      </c>
      <c r="E77" s="4">
        <v>0.55</v>
      </c>
    </row>
    <row r="78">
      <c r="A78" s="4">
        <v>65.0</v>
      </c>
      <c r="B78" s="4">
        <f>VLOOKUP(Transactions!C76, Inventory_data!$A$1:$G$86, 5, True)</f>
        <v>1.32</v>
      </c>
      <c r="D78" s="4" t="s">
        <v>40</v>
      </c>
      <c r="E78" s="4">
        <v>0.53</v>
      </c>
    </row>
    <row r="79">
      <c r="A79" s="4">
        <v>14.0</v>
      </c>
      <c r="B79" s="4">
        <f>VLOOKUP(Transactions!C77, Inventory_data!$A$1:$G$86, 5, True)</f>
        <v>0.53</v>
      </c>
      <c r="D79" s="4" t="s">
        <v>41</v>
      </c>
      <c r="E79" s="4">
        <v>0.43</v>
      </c>
    </row>
    <row r="80">
      <c r="A80" s="4">
        <v>44.0</v>
      </c>
      <c r="B80" s="4">
        <f>VLOOKUP(Transactions!C78, Inventory_data!$A$1:$G$86, 5, True)</f>
        <v>4.99</v>
      </c>
      <c r="D80" s="4" t="s">
        <v>46</v>
      </c>
      <c r="E80" s="6">
        <v>0.41</v>
      </c>
    </row>
    <row r="81">
      <c r="A81" s="4">
        <v>59.0</v>
      </c>
      <c r="B81" s="4">
        <f>VLOOKUP(Transactions!C79, Inventory_data!$A$1:$G$86, 5, True)</f>
        <v>4.29</v>
      </c>
      <c r="D81" s="4" t="s">
        <v>110</v>
      </c>
      <c r="E81" s="4">
        <v>0.39</v>
      </c>
    </row>
    <row r="82">
      <c r="A82" s="4">
        <v>63.0</v>
      </c>
      <c r="B82" s="4">
        <f>VLOOKUP(Transactions!C80, Inventory_data!$A$1:$G$86, 5, True)</f>
        <v>3.57</v>
      </c>
      <c r="D82" s="4" t="s">
        <v>38</v>
      </c>
      <c r="E82" s="6">
        <v>0.38</v>
      </c>
    </row>
    <row r="83">
      <c r="A83" s="4">
        <v>52.0</v>
      </c>
      <c r="B83" s="4">
        <f>VLOOKUP(Transactions!C81, Inventory_data!$A$1:$G$86, 5, True)</f>
        <v>1.79</v>
      </c>
      <c r="D83" s="4" t="s">
        <v>96</v>
      </c>
      <c r="E83" s="4">
        <v>0.27</v>
      </c>
    </row>
    <row r="84">
      <c r="A84" s="4">
        <v>19.0</v>
      </c>
      <c r="B84" s="4">
        <f>VLOOKUP(Transactions!C82, Inventory_data!$A$1:$G$86, 5, True)</f>
        <v>0.41</v>
      </c>
      <c r="D84" s="4" t="s">
        <v>99</v>
      </c>
      <c r="E84" s="4">
        <v>0.27</v>
      </c>
    </row>
    <row r="85">
      <c r="A85" s="4">
        <v>8.0</v>
      </c>
      <c r="B85" s="4">
        <f>VLOOKUP(Transactions!C83, Inventory_data!$A$1:$G$86, 5, True)</f>
        <v>3.99</v>
      </c>
      <c r="D85" s="4" t="s">
        <v>53</v>
      </c>
      <c r="E85" s="4">
        <v>0.25</v>
      </c>
    </row>
    <row r="86">
      <c r="A86" s="4">
        <v>69.0</v>
      </c>
      <c r="B86" s="4">
        <f>VLOOKUP(Transactions!C84, Inventory_data!$A$1:$G$86, 5, True)</f>
        <v>0.27</v>
      </c>
      <c r="D86" s="4" t="s">
        <v>98</v>
      </c>
      <c r="E86" s="6">
        <v>0.24</v>
      </c>
    </row>
    <row r="87">
      <c r="A87" s="4">
        <v>66.0</v>
      </c>
      <c r="B87" s="4">
        <f>VLOOKUP(Transactions!C85, Inventory_data!$A$1:$G$86, 5, True)</f>
        <v>1.12</v>
      </c>
      <c r="D87" s="4" t="s">
        <v>97</v>
      </c>
      <c r="E87" s="4">
        <v>0.19</v>
      </c>
    </row>
    <row r="88">
      <c r="A88" s="4">
        <v>24.0</v>
      </c>
      <c r="B88" s="4">
        <f>VLOOKUP(Transactions!C86, Inventory_data!$A$1:$G$86, 5, True)</f>
        <v>0.56</v>
      </c>
      <c r="D88" s="4" t="s">
        <v>112</v>
      </c>
      <c r="E88" s="4">
        <v>0.08</v>
      </c>
    </row>
    <row r="89">
      <c r="A89" s="4">
        <v>7.0</v>
      </c>
      <c r="B89" s="4">
        <f>VLOOKUP(Transactions!C87, Inventory_data!$A$1:$G$86, 5, True)</f>
        <v>2.54</v>
      </c>
    </row>
    <row r="90">
      <c r="A90" s="4">
        <v>1.0</v>
      </c>
      <c r="B90" s="4">
        <f>VLOOKUP(Transactions!C88, Inventory_data!$A$1:$G$86, 5, True)</f>
        <v>3.28</v>
      </c>
    </row>
    <row r="91">
      <c r="A91" s="4">
        <v>17.0</v>
      </c>
      <c r="B91" s="4">
        <f>VLOOKUP(Transactions!C89, Inventory_data!$A$1:$G$86, 5, True)</f>
        <v>2.67</v>
      </c>
    </row>
    <row r="92">
      <c r="A92" s="4">
        <v>52.0</v>
      </c>
      <c r="B92" s="4">
        <f>VLOOKUP(Transactions!C90, Inventory_data!$A$1:$G$86, 5, True)</f>
        <v>1.79</v>
      </c>
    </row>
    <row r="93">
      <c r="A93" s="4">
        <v>61.0</v>
      </c>
      <c r="B93" s="4">
        <f>VLOOKUP(Transactions!C91, Inventory_data!$A$1:$G$86, 5, True)</f>
        <v>0.55</v>
      </c>
    </row>
    <row r="94">
      <c r="A94" s="4">
        <v>62.0</v>
      </c>
      <c r="B94" s="4">
        <f>VLOOKUP(Transactions!C92, Inventory_data!$A$1:$G$86, 5, True)</f>
        <v>1.17</v>
      </c>
    </row>
    <row r="95">
      <c r="A95" s="4">
        <v>77.0</v>
      </c>
      <c r="B95" s="4">
        <f>VLOOKUP(Transactions!C93, Inventory_data!$A$1:$G$86, 5, True)</f>
        <v>2.67</v>
      </c>
    </row>
    <row r="96">
      <c r="A96" s="4">
        <v>2.0</v>
      </c>
      <c r="B96" s="4">
        <f>VLOOKUP(Transactions!C94, Inventory_data!$A$1:$G$86, 5, True)</f>
        <v>1.44</v>
      </c>
    </row>
    <row r="97">
      <c r="A97" s="4">
        <v>41.0</v>
      </c>
      <c r="B97" s="4">
        <f>VLOOKUP(Transactions!C95, Inventory_data!$A$1:$G$86, 5, True)</f>
        <v>1.09</v>
      </c>
    </row>
    <row r="98">
      <c r="A98" s="4">
        <v>56.0</v>
      </c>
      <c r="B98" s="4">
        <f>VLOOKUP(Transactions!C96, Inventory_data!$A$1:$G$86, 5, True)</f>
        <v>0.86</v>
      </c>
    </row>
    <row r="99">
      <c r="A99" s="4">
        <v>75.0</v>
      </c>
      <c r="B99" s="4">
        <f>VLOOKUP(Transactions!C97, Inventory_data!$A$1:$G$86, 5, True)</f>
        <v>0.57</v>
      </c>
    </row>
    <row r="100">
      <c r="A100" s="4">
        <v>75.0</v>
      </c>
      <c r="B100" s="4">
        <f>VLOOKUP(Transactions!C98, Inventory_data!$A$1:$G$86, 5, True)</f>
        <v>0.57</v>
      </c>
    </row>
    <row r="101">
      <c r="A101" s="4">
        <v>40.0</v>
      </c>
      <c r="B101" s="4">
        <f>VLOOKUP(Transactions!C99, Inventory_data!$A$1:$G$86, 5, True)</f>
        <v>1.17</v>
      </c>
    </row>
    <row r="102">
      <c r="A102" s="4">
        <v>39.0</v>
      </c>
      <c r="B102" s="4">
        <f>VLOOKUP(Transactions!C100, Inventory_data!$A$1:$G$86, 5, True)</f>
        <v>0.59</v>
      </c>
    </row>
    <row r="103">
      <c r="A103" s="4">
        <v>51.0</v>
      </c>
      <c r="B103" s="4">
        <f>VLOOKUP(Transactions!C101, Inventory_data!$A$1:$G$86, 5, True)</f>
        <v>0.89</v>
      </c>
    </row>
    <row r="104">
      <c r="A104" s="4">
        <v>52.0</v>
      </c>
      <c r="B104" s="4">
        <f>VLOOKUP(Transactions!C102, Inventory_data!$A$1:$G$86, 5, True)</f>
        <v>1.79</v>
      </c>
    </row>
    <row r="105">
      <c r="A105" s="4">
        <v>63.0</v>
      </c>
      <c r="B105" s="4">
        <f>VLOOKUP(Transactions!C103, Inventory_data!$A$1:$G$86, 5, True)</f>
        <v>3.57</v>
      </c>
    </row>
    <row r="106">
      <c r="A106" s="4">
        <v>43.0</v>
      </c>
      <c r="B106" s="4">
        <f>VLOOKUP(Transactions!C104, Inventory_data!$A$1:$G$86, 5, True)</f>
        <v>0.99</v>
      </c>
    </row>
    <row r="107">
      <c r="A107" s="4">
        <v>28.0</v>
      </c>
      <c r="B107" s="4">
        <f>VLOOKUP(Transactions!C105, Inventory_data!$A$1:$G$86, 5, True)</f>
        <v>0.69</v>
      </c>
    </row>
    <row r="108">
      <c r="A108" s="4">
        <v>30.0</v>
      </c>
      <c r="B108" s="4">
        <f>VLOOKUP(Transactions!C106, Inventory_data!$A$1:$G$86, 5, True)</f>
        <v>0.91</v>
      </c>
    </row>
    <row r="109">
      <c r="A109" s="4">
        <v>23.0</v>
      </c>
      <c r="B109" s="4">
        <f>VLOOKUP(Transactions!C107, Inventory_data!$A$1:$G$86, 5, True)</f>
        <v>0.91</v>
      </c>
    </row>
    <row r="110">
      <c r="A110" s="4">
        <v>18.0</v>
      </c>
      <c r="B110" s="4">
        <f>VLOOKUP(Transactions!C108, Inventory_data!$A$1:$G$86, 5, True)</f>
        <v>0.67</v>
      </c>
    </row>
    <row r="111">
      <c r="A111" s="4">
        <v>20.0</v>
      </c>
      <c r="B111" s="4">
        <f>VLOOKUP(Transactions!C109, Inventory_data!$A$1:$G$86, 5, True)</f>
        <v>1.11</v>
      </c>
    </row>
    <row r="112">
      <c r="A112" s="4">
        <v>67.0</v>
      </c>
      <c r="B112" s="4">
        <f>VLOOKUP(Transactions!C110, Inventory_data!$A$1:$G$86, 5, True)</f>
        <v>1.74</v>
      </c>
    </row>
    <row r="113">
      <c r="A113" s="4">
        <v>53.0</v>
      </c>
      <c r="B113" s="4">
        <f>VLOOKUP(Transactions!C111, Inventory_data!$A$1:$G$86, 5, True)</f>
        <v>1.69</v>
      </c>
    </row>
    <row r="114">
      <c r="A114" s="4">
        <v>56.0</v>
      </c>
      <c r="B114" s="4">
        <f>VLOOKUP(Transactions!C112, Inventory_data!$A$1:$G$86, 5, True)</f>
        <v>0.86</v>
      </c>
    </row>
    <row r="115">
      <c r="A115" s="4">
        <v>80.0</v>
      </c>
      <c r="B115" s="4">
        <f>VLOOKUP(Transactions!C113, Inventory_data!$A$1:$G$86, 5, True)</f>
        <v>3.49</v>
      </c>
    </row>
    <row r="116">
      <c r="A116" s="4">
        <v>50.0</v>
      </c>
      <c r="B116" s="4">
        <f>VLOOKUP(Transactions!C114, Inventory_data!$A$1:$G$86, 5, True)</f>
        <v>0.77</v>
      </c>
    </row>
    <row r="117">
      <c r="A117" s="4">
        <v>13.0</v>
      </c>
      <c r="B117" s="4">
        <f>VLOOKUP(Transactions!C115, Inventory_data!$A$1:$G$86, 5, True)</f>
        <v>0.38</v>
      </c>
    </row>
    <row r="118">
      <c r="A118" s="4">
        <v>44.0</v>
      </c>
      <c r="B118" s="4">
        <f>VLOOKUP(Transactions!C116, Inventory_data!$A$1:$G$86, 5, True)</f>
        <v>4.99</v>
      </c>
    </row>
    <row r="119">
      <c r="A119" s="4">
        <v>61.0</v>
      </c>
      <c r="B119" s="4">
        <f>VLOOKUP(Transactions!C117, Inventory_data!$A$1:$G$86, 5, True)</f>
        <v>0.55</v>
      </c>
    </row>
    <row r="120">
      <c r="A120" s="4">
        <v>33.0</v>
      </c>
      <c r="B120" s="4">
        <f>VLOOKUP(Transactions!C118, Inventory_data!$A$1:$G$86, 5, True)</f>
        <v>0.97</v>
      </c>
    </row>
    <row r="121">
      <c r="A121" s="4">
        <v>36.0</v>
      </c>
      <c r="B121" s="4">
        <f>VLOOKUP(Transactions!C119, Inventory_data!$A$1:$G$86, 5, True)</f>
        <v>1.12</v>
      </c>
    </row>
    <row r="122">
      <c r="A122" s="4">
        <v>29.0</v>
      </c>
      <c r="B122" s="4">
        <f>VLOOKUP(Transactions!C120, Inventory_data!$A$1:$G$86, 5, True)</f>
        <v>0.63</v>
      </c>
    </row>
    <row r="123">
      <c r="A123" s="4">
        <v>20.0</v>
      </c>
      <c r="B123" s="4">
        <f>VLOOKUP(Transactions!C121, Inventory_data!$A$1:$G$86, 5, True)</f>
        <v>1.11</v>
      </c>
    </row>
    <row r="124">
      <c r="A124" s="4">
        <v>79.0</v>
      </c>
      <c r="B124" s="4">
        <f>VLOOKUP(Transactions!C122, Inventory_data!$A$1:$G$86, 5, True)</f>
        <v>3.3</v>
      </c>
    </row>
    <row r="125">
      <c r="A125" s="4">
        <v>8.0</v>
      </c>
      <c r="B125" s="4">
        <f>VLOOKUP(Transactions!C123, Inventory_data!$A$1:$G$86, 5, True)</f>
        <v>3.99</v>
      </c>
    </row>
    <row r="126">
      <c r="A126" s="4">
        <v>76.0</v>
      </c>
      <c r="B126" s="4">
        <f>VLOOKUP(Transactions!C124, Inventory_data!$A$1:$G$86, 5, True)</f>
        <v>0.69</v>
      </c>
    </row>
    <row r="127">
      <c r="A127" s="4">
        <v>62.0</v>
      </c>
      <c r="B127" s="4">
        <f>VLOOKUP(Transactions!C125, Inventory_data!$A$1:$G$86, 5, True)</f>
        <v>1.17</v>
      </c>
    </row>
    <row r="128">
      <c r="A128" s="4">
        <v>70.0</v>
      </c>
      <c r="B128" s="4">
        <f>VLOOKUP(Transactions!C126, Inventory_data!$A$1:$G$86, 5, True)</f>
        <v>0.19</v>
      </c>
    </row>
    <row r="129">
      <c r="A129" s="4">
        <v>81.0</v>
      </c>
      <c r="B129" s="4">
        <f>VLOOKUP(Transactions!C127, Inventory_data!$A$1:$G$86, 5, True)</f>
        <v>2.99</v>
      </c>
    </row>
    <row r="130">
      <c r="A130" s="4">
        <v>64.0</v>
      </c>
      <c r="B130" s="4">
        <f>VLOOKUP(Transactions!C128, Inventory_data!$A$1:$G$86, 5, True)</f>
        <v>1.22</v>
      </c>
    </row>
    <row r="131">
      <c r="A131" s="4">
        <v>11.0</v>
      </c>
      <c r="B131" s="4">
        <f>VLOOKUP(Transactions!C129, Inventory_data!$A$1:$G$86, 5, True)</f>
        <v>4.89</v>
      </c>
    </row>
    <row r="132">
      <c r="A132" s="4">
        <v>79.0</v>
      </c>
      <c r="B132" s="4">
        <f>VLOOKUP(Transactions!C130, Inventory_data!$A$1:$G$86, 5, True)</f>
        <v>3.3</v>
      </c>
    </row>
    <row r="133">
      <c r="A133" s="4">
        <v>37.0</v>
      </c>
      <c r="B133" s="4">
        <f>VLOOKUP(Transactions!C131, Inventory_data!$A$1:$G$86, 5, True)</f>
        <v>3.52</v>
      </c>
    </row>
    <row r="134">
      <c r="A134" s="4">
        <v>39.0</v>
      </c>
      <c r="B134" s="4">
        <f>VLOOKUP(Transactions!C132, Inventory_data!$A$1:$G$86, 5, True)</f>
        <v>0.59</v>
      </c>
    </row>
    <row r="135">
      <c r="A135" s="4">
        <v>27.0</v>
      </c>
      <c r="B135" s="4">
        <f>VLOOKUP(Transactions!C133, Inventory_data!$A$1:$G$86, 5, True)</f>
        <v>6</v>
      </c>
    </row>
    <row r="136">
      <c r="A136" s="4">
        <v>4.0</v>
      </c>
      <c r="B136" s="4">
        <f>VLOOKUP(Transactions!C134, Inventory_data!$A$1:$G$86, 5, True)</f>
        <v>1.19</v>
      </c>
    </row>
    <row r="137">
      <c r="A137" s="4">
        <v>51.0</v>
      </c>
      <c r="B137" s="4">
        <f>VLOOKUP(Transactions!C135, Inventory_data!$A$1:$G$86, 5, True)</f>
        <v>0.89</v>
      </c>
    </row>
    <row r="138">
      <c r="A138" s="4">
        <v>13.0</v>
      </c>
      <c r="B138" s="4">
        <f>VLOOKUP(Transactions!C136, Inventory_data!$A$1:$G$86, 5, True)</f>
        <v>0.38</v>
      </c>
    </row>
    <row r="139">
      <c r="A139" s="4">
        <v>78.0</v>
      </c>
      <c r="B139" s="4">
        <f>VLOOKUP(Transactions!C137, Inventory_data!$A$1:$G$86, 5, True)</f>
        <v>1.44</v>
      </c>
    </row>
    <row r="140">
      <c r="A140" s="4">
        <v>22.0</v>
      </c>
      <c r="B140" s="4">
        <f>VLOOKUP(Transactions!C138, Inventory_data!$A$1:$G$86, 5, True)</f>
        <v>19.59</v>
      </c>
    </row>
    <row r="141">
      <c r="A141" s="4">
        <v>31.0</v>
      </c>
      <c r="B141" s="4">
        <f>VLOOKUP(Transactions!C139, Inventory_data!$A$1:$G$86, 5, True)</f>
        <v>0.61</v>
      </c>
    </row>
    <row r="142">
      <c r="A142" s="4">
        <v>46.0</v>
      </c>
      <c r="B142" s="4">
        <f>VLOOKUP(Transactions!C140, Inventory_data!$A$1:$G$86, 5, True)</f>
        <v>16.99</v>
      </c>
    </row>
    <row r="143">
      <c r="A143" s="4">
        <v>46.0</v>
      </c>
      <c r="B143" s="4">
        <f>VLOOKUP(Transactions!C141, Inventory_data!$A$1:$G$86, 5, True)</f>
        <v>16.99</v>
      </c>
    </row>
    <row r="144">
      <c r="A144" s="4">
        <v>56.0</v>
      </c>
      <c r="B144" s="4">
        <f>VLOOKUP(Transactions!C142, Inventory_data!$A$1:$G$86, 5, True)</f>
        <v>0.86</v>
      </c>
    </row>
    <row r="145">
      <c r="A145" s="4">
        <v>16.0</v>
      </c>
      <c r="B145" s="4">
        <f>VLOOKUP(Transactions!C143, Inventory_data!$A$1:$G$86, 5, True)</f>
        <v>2.43</v>
      </c>
    </row>
    <row r="146">
      <c r="A146" s="4">
        <v>16.0</v>
      </c>
      <c r="B146" s="4">
        <f>VLOOKUP(Transactions!C144, Inventory_data!$A$1:$G$86, 5, True)</f>
        <v>2.43</v>
      </c>
    </row>
    <row r="147">
      <c r="A147" s="4">
        <v>70.0</v>
      </c>
      <c r="B147" s="4">
        <f>VLOOKUP(Transactions!C145, Inventory_data!$A$1:$G$86, 5, True)</f>
        <v>0.19</v>
      </c>
    </row>
    <row r="148">
      <c r="A148" s="4">
        <v>22.0</v>
      </c>
      <c r="B148" s="4">
        <f>VLOOKUP(Transactions!C146, Inventory_data!$A$1:$G$86, 5, True)</f>
        <v>19.59</v>
      </c>
    </row>
    <row r="149">
      <c r="A149" s="4">
        <v>50.0</v>
      </c>
      <c r="B149" s="4">
        <f>VLOOKUP(Transactions!C147, Inventory_data!$A$1:$G$86, 5, True)</f>
        <v>0.77</v>
      </c>
    </row>
    <row r="150">
      <c r="A150" s="4">
        <v>29.0</v>
      </c>
      <c r="B150" s="4">
        <f>VLOOKUP(Transactions!C148, Inventory_data!$A$1:$G$86, 5, True)</f>
        <v>0.63</v>
      </c>
    </row>
    <row r="151">
      <c r="A151" s="4">
        <v>58.0</v>
      </c>
      <c r="B151" s="4">
        <f>VLOOKUP(Transactions!C149, Inventory_data!$A$1:$G$86, 5, True)</f>
        <v>0.96</v>
      </c>
    </row>
    <row r="152">
      <c r="A152" s="4">
        <v>39.0</v>
      </c>
      <c r="B152" s="4">
        <f>VLOOKUP(Transactions!C150, Inventory_data!$A$1:$G$86, 5, True)</f>
        <v>0.59</v>
      </c>
    </row>
    <row r="153">
      <c r="A153" s="4">
        <v>55.0</v>
      </c>
      <c r="B153" s="4">
        <f>VLOOKUP(Transactions!C151, Inventory_data!$A$1:$G$86, 5, True)</f>
        <v>1.1</v>
      </c>
    </row>
    <row r="154">
      <c r="A154" s="4">
        <v>49.0</v>
      </c>
      <c r="B154" s="4">
        <f>VLOOKUP(Transactions!C152, Inventory_data!$A$1:$G$86, 5, True)</f>
        <v>0.67</v>
      </c>
    </row>
    <row r="155">
      <c r="A155" s="4">
        <v>67.0</v>
      </c>
      <c r="B155" s="4">
        <f>VLOOKUP(Transactions!C153, Inventory_data!$A$1:$G$86, 5, True)</f>
        <v>1.74</v>
      </c>
    </row>
    <row r="156">
      <c r="A156" s="4">
        <v>36.0</v>
      </c>
      <c r="B156" s="4">
        <f>VLOOKUP(Transactions!C154, Inventory_data!$A$1:$G$86, 5, True)</f>
        <v>1.12</v>
      </c>
    </row>
    <row r="157">
      <c r="A157" s="4">
        <v>82.0</v>
      </c>
      <c r="B157" s="4">
        <f>VLOOKUP(Transactions!C155, Inventory_data!$A$1:$G$86, 5, True)</f>
        <v>3.08</v>
      </c>
    </row>
    <row r="158">
      <c r="A158" s="4">
        <v>55.0</v>
      </c>
      <c r="B158" s="4">
        <f>VLOOKUP(Transactions!C156, Inventory_data!$A$1:$G$86, 5, True)</f>
        <v>1.1</v>
      </c>
    </row>
    <row r="159">
      <c r="A159" s="4">
        <v>60.0</v>
      </c>
      <c r="B159" s="4">
        <f>VLOOKUP(Transactions!C157, Inventory_data!$A$1:$G$86, 5, True)</f>
        <v>2.06</v>
      </c>
    </row>
    <row r="160">
      <c r="A160" s="4">
        <v>62.0</v>
      </c>
      <c r="B160" s="4">
        <f>VLOOKUP(Transactions!C158, Inventory_data!$A$1:$G$86, 5, True)</f>
        <v>1.17</v>
      </c>
    </row>
    <row r="161">
      <c r="A161" s="4">
        <v>21.0</v>
      </c>
      <c r="B161" s="4">
        <f>VLOOKUP(Transactions!C159, Inventory_data!$A$1:$G$86, 5, True)</f>
        <v>2.59</v>
      </c>
    </row>
    <row r="162">
      <c r="A162" s="4">
        <v>81.0</v>
      </c>
      <c r="B162" s="4">
        <f>VLOOKUP(Transactions!C160, Inventory_data!$A$1:$G$86, 5, True)</f>
        <v>2.99</v>
      </c>
    </row>
    <row r="163">
      <c r="A163" s="4">
        <v>56.0</v>
      </c>
      <c r="B163" s="4">
        <f>VLOOKUP(Transactions!C161, Inventory_data!$A$1:$G$86, 5, True)</f>
        <v>0.86</v>
      </c>
    </row>
    <row r="164">
      <c r="A164" s="4">
        <v>74.0</v>
      </c>
      <c r="B164" s="4">
        <f>VLOOKUP(Transactions!C162, Inventory_data!$A$1:$G$86, 5, True)</f>
        <v>0.75</v>
      </c>
    </row>
    <row r="165">
      <c r="A165" s="4">
        <v>30.0</v>
      </c>
      <c r="B165" s="4">
        <f>VLOOKUP(Transactions!C163, Inventory_data!$A$1:$G$86, 5, True)</f>
        <v>0.91</v>
      </c>
    </row>
    <row r="166">
      <c r="A166" s="4">
        <v>19.0</v>
      </c>
      <c r="B166" s="4">
        <f>VLOOKUP(Transactions!C164, Inventory_data!$A$1:$G$86, 5, True)</f>
        <v>0.41</v>
      </c>
    </row>
    <row r="167">
      <c r="A167" s="4">
        <v>67.0</v>
      </c>
      <c r="B167" s="4">
        <f>VLOOKUP(Transactions!C165, Inventory_data!$A$1:$G$86, 5, True)</f>
        <v>1.74</v>
      </c>
    </row>
    <row r="168">
      <c r="A168" s="4">
        <v>42.0</v>
      </c>
      <c r="B168" s="4">
        <f>VLOOKUP(Transactions!C166, Inventory_data!$A$1:$G$86, 5, True)</f>
        <v>5.99</v>
      </c>
    </row>
    <row r="169">
      <c r="A169" s="4">
        <v>81.0</v>
      </c>
      <c r="B169" s="4">
        <f>VLOOKUP(Transactions!C167, Inventory_data!$A$1:$G$86, 5, True)</f>
        <v>2.99</v>
      </c>
    </row>
    <row r="170">
      <c r="A170" s="4">
        <v>24.0</v>
      </c>
      <c r="B170" s="4">
        <f>VLOOKUP(Transactions!C168, Inventory_data!$A$1:$G$86, 5, True)</f>
        <v>0.56</v>
      </c>
    </row>
    <row r="171">
      <c r="A171" s="4">
        <v>20.0</v>
      </c>
      <c r="B171" s="4">
        <f>VLOOKUP(Transactions!C169, Inventory_data!$A$1:$G$86, 5, True)</f>
        <v>1.11</v>
      </c>
    </row>
    <row r="172">
      <c r="A172" s="4">
        <v>21.0</v>
      </c>
      <c r="B172" s="4">
        <f>VLOOKUP(Transactions!C170, Inventory_data!$A$1:$G$86, 5, True)</f>
        <v>2.59</v>
      </c>
    </row>
    <row r="173">
      <c r="A173" s="4">
        <v>36.0</v>
      </c>
      <c r="B173" s="4">
        <f>VLOOKUP(Transactions!C171, Inventory_data!$A$1:$G$86, 5, True)</f>
        <v>1.12</v>
      </c>
    </row>
    <row r="174">
      <c r="A174" s="4">
        <v>11.0</v>
      </c>
      <c r="B174" s="4">
        <f>VLOOKUP(Transactions!C172, Inventory_data!$A$1:$G$86, 5, True)</f>
        <v>4.89</v>
      </c>
    </row>
    <row r="175">
      <c r="A175" s="4">
        <v>72.0</v>
      </c>
      <c r="B175" s="4">
        <f>VLOOKUP(Transactions!C173, Inventory_data!$A$1:$G$86, 5, True)</f>
        <v>0.27</v>
      </c>
    </row>
    <row r="176">
      <c r="A176" s="4">
        <v>57.0</v>
      </c>
      <c r="B176" s="4">
        <f>VLOOKUP(Transactions!C174, Inventory_data!$A$1:$G$86, 5, True)</f>
        <v>3.6</v>
      </c>
    </row>
    <row r="177">
      <c r="A177" s="4">
        <v>73.0</v>
      </c>
      <c r="B177" s="4">
        <f>VLOOKUP(Transactions!C175, Inventory_data!$A$1:$G$86, 5, True)</f>
        <v>0.69</v>
      </c>
    </row>
    <row r="178">
      <c r="A178" s="4">
        <v>28.0</v>
      </c>
      <c r="B178" s="4">
        <f>VLOOKUP(Transactions!C176, Inventory_data!$A$1:$G$86, 5, True)</f>
        <v>0.69</v>
      </c>
    </row>
    <row r="179">
      <c r="A179" s="4">
        <v>76.0</v>
      </c>
      <c r="B179" s="4">
        <f>VLOOKUP(Transactions!C177, Inventory_data!$A$1:$G$86, 5, True)</f>
        <v>0.69</v>
      </c>
    </row>
    <row r="180">
      <c r="A180" s="4">
        <v>25.0</v>
      </c>
      <c r="B180" s="4">
        <f>VLOOKUP(Transactions!C178, Inventory_data!$A$1:$G$86, 5, True)</f>
        <v>39.99</v>
      </c>
    </row>
    <row r="181">
      <c r="A181" s="4">
        <v>2.0</v>
      </c>
      <c r="B181" s="4">
        <f>VLOOKUP(Transactions!C179, Inventory_data!$A$1:$G$86, 5, True)</f>
        <v>1.44</v>
      </c>
    </row>
    <row r="182">
      <c r="A182" s="4">
        <v>12.0</v>
      </c>
      <c r="B182" s="4">
        <f>VLOOKUP(Transactions!C180, Inventory_data!$A$1:$G$86, 5, True)</f>
        <v>1.15</v>
      </c>
    </row>
    <row r="183">
      <c r="A183" s="4">
        <v>9.0</v>
      </c>
      <c r="B183" s="4">
        <f>VLOOKUP(Transactions!C181, Inventory_data!$A$1:$G$86, 5, True)</f>
        <v>0.96</v>
      </c>
    </row>
    <row r="184">
      <c r="A184" s="4">
        <v>10.0</v>
      </c>
      <c r="B184" s="4">
        <f>VLOOKUP(Transactions!C182, Inventory_data!$A$1:$G$86, 5, True)</f>
        <v>0.96</v>
      </c>
    </row>
    <row r="185">
      <c r="A185" s="4">
        <v>16.0</v>
      </c>
      <c r="B185" s="4">
        <f>VLOOKUP(Transactions!C183, Inventory_data!$A$1:$G$86, 5, True)</f>
        <v>2.43</v>
      </c>
    </row>
    <row r="186">
      <c r="A186" s="4">
        <v>65.0</v>
      </c>
      <c r="B186" s="4">
        <f>VLOOKUP(Transactions!C184, Inventory_data!$A$1:$G$86, 5, True)</f>
        <v>1.32</v>
      </c>
    </row>
    <row r="187">
      <c r="A187" s="4">
        <v>17.0</v>
      </c>
      <c r="B187" s="4">
        <f>VLOOKUP(Transactions!C185, Inventory_data!$A$1:$G$86, 5, True)</f>
        <v>2.67</v>
      </c>
    </row>
    <row r="188">
      <c r="A188" s="4">
        <v>20.0</v>
      </c>
      <c r="B188" s="4">
        <f>VLOOKUP(Transactions!C186, Inventory_data!$A$1:$G$86, 5, True)</f>
        <v>1.11</v>
      </c>
    </row>
    <row r="189">
      <c r="A189" s="4">
        <v>14.0</v>
      </c>
      <c r="B189" s="4">
        <f>VLOOKUP(Transactions!C187, Inventory_data!$A$1:$G$86, 5, True)</f>
        <v>0.53</v>
      </c>
    </row>
    <row r="190">
      <c r="A190" s="4">
        <v>27.0</v>
      </c>
      <c r="B190" s="4">
        <f>VLOOKUP(Transactions!C188, Inventory_data!$A$1:$G$86, 5, True)</f>
        <v>6</v>
      </c>
    </row>
    <row r="191">
      <c r="A191" s="4">
        <v>60.0</v>
      </c>
      <c r="B191" s="4">
        <f>VLOOKUP(Transactions!C189, Inventory_data!$A$1:$G$86, 5, True)</f>
        <v>2.06</v>
      </c>
    </row>
    <row r="192">
      <c r="A192" s="4">
        <v>67.0</v>
      </c>
      <c r="B192" s="4">
        <f>VLOOKUP(Transactions!C190, Inventory_data!$A$1:$G$86, 5, True)</f>
        <v>1.74</v>
      </c>
    </row>
    <row r="193">
      <c r="A193" s="4">
        <v>77.0</v>
      </c>
      <c r="B193" s="4">
        <f>VLOOKUP(Transactions!C191, Inventory_data!$A$1:$G$86, 5, True)</f>
        <v>2.67</v>
      </c>
    </row>
    <row r="194">
      <c r="A194" s="4">
        <v>79.0</v>
      </c>
      <c r="B194" s="4">
        <f>VLOOKUP(Transactions!C192, Inventory_data!$A$1:$G$86, 5, True)</f>
        <v>3.3</v>
      </c>
    </row>
    <row r="195">
      <c r="A195" s="4">
        <v>81.0</v>
      </c>
      <c r="B195" s="4">
        <f>VLOOKUP(Transactions!C193, Inventory_data!$A$1:$G$86, 5, True)</f>
        <v>2.99</v>
      </c>
    </row>
    <row r="196">
      <c r="A196" s="4">
        <v>9.0</v>
      </c>
      <c r="B196" s="4">
        <f>VLOOKUP(Transactions!C194, Inventory_data!$A$1:$G$86, 5, True)</f>
        <v>0.96</v>
      </c>
    </row>
    <row r="197">
      <c r="A197" s="4">
        <v>42.0</v>
      </c>
      <c r="B197" s="4">
        <f>VLOOKUP(Transactions!C195, Inventory_data!$A$1:$G$86, 5, True)</f>
        <v>5.99</v>
      </c>
    </row>
    <row r="198">
      <c r="A198" s="4">
        <v>69.0</v>
      </c>
      <c r="B198" s="4">
        <f>VLOOKUP(Transactions!C196, Inventory_data!$A$1:$G$86, 5, True)</f>
        <v>0.27</v>
      </c>
    </row>
    <row r="199">
      <c r="A199" s="4">
        <v>76.0</v>
      </c>
      <c r="B199" s="4">
        <f>VLOOKUP(Transactions!C197, Inventory_data!$A$1:$G$86, 5, True)</f>
        <v>0.69</v>
      </c>
    </row>
    <row r="200">
      <c r="A200" s="4">
        <v>63.0</v>
      </c>
      <c r="B200" s="4">
        <f>VLOOKUP(Transactions!C198, Inventory_data!$A$1:$G$86, 5, True)</f>
        <v>3.57</v>
      </c>
    </row>
    <row r="201">
      <c r="A201" s="4">
        <v>78.0</v>
      </c>
      <c r="B201" s="4">
        <f>VLOOKUP(Transactions!C199, Inventory_data!$A$1:$G$86, 5, True)</f>
        <v>1.44</v>
      </c>
    </row>
    <row r="202">
      <c r="A202" s="4">
        <v>82.0</v>
      </c>
      <c r="B202" s="4">
        <f>VLOOKUP(Transactions!C200, Inventory_data!$A$1:$G$86, 5, True)</f>
        <v>3.08</v>
      </c>
    </row>
    <row r="203">
      <c r="A203" s="4">
        <v>69.0</v>
      </c>
      <c r="B203" s="4">
        <f>VLOOKUP(Transactions!C201, Inventory_data!$A$1:$G$86, 5, True)</f>
        <v>0.27</v>
      </c>
    </row>
    <row r="204">
      <c r="A204" s="4">
        <v>81.0</v>
      </c>
      <c r="B204" s="4">
        <f>VLOOKUP(Transactions!C202, Inventory_data!$A$1:$G$86, 5, True)</f>
        <v>2.99</v>
      </c>
    </row>
    <row r="205">
      <c r="A205" s="4">
        <v>78.0</v>
      </c>
      <c r="B205" s="4">
        <f>VLOOKUP(Transactions!C203, Inventory_data!$A$1:$G$86, 5, True)</f>
        <v>1.44</v>
      </c>
    </row>
    <row r="206">
      <c r="A206" s="4">
        <v>80.0</v>
      </c>
      <c r="B206" s="4">
        <f>VLOOKUP(Transactions!C204, Inventory_data!$A$1:$G$86, 5, True)</f>
        <v>3.49</v>
      </c>
    </row>
    <row r="207">
      <c r="A207" s="4">
        <v>58.0</v>
      </c>
      <c r="B207" s="4">
        <f>VLOOKUP(Transactions!C205, Inventory_data!$A$1:$G$86, 5, True)</f>
        <v>0.96</v>
      </c>
    </row>
    <row r="208">
      <c r="A208" s="4">
        <v>57.0</v>
      </c>
      <c r="B208" s="4">
        <f>VLOOKUP(Transactions!C206, Inventory_data!$A$1:$G$86, 5, True)</f>
        <v>3.6</v>
      </c>
    </row>
    <row r="209">
      <c r="A209" s="4">
        <v>19.0</v>
      </c>
      <c r="B209" s="4">
        <f>VLOOKUP(Transactions!C207, Inventory_data!$A$1:$G$86, 5, True)</f>
        <v>0.41</v>
      </c>
    </row>
    <row r="210">
      <c r="A210" s="4">
        <v>26.0</v>
      </c>
      <c r="B210" s="4">
        <f>VLOOKUP(Transactions!C208, Inventory_data!$A$1:$G$86, 5, True)</f>
        <v>0.25</v>
      </c>
    </row>
    <row r="211">
      <c r="A211" s="4">
        <v>13.0</v>
      </c>
      <c r="B211" s="4">
        <f>VLOOKUP(Transactions!C209, Inventory_data!$A$1:$G$86, 5, True)</f>
        <v>0.38</v>
      </c>
    </row>
    <row r="212">
      <c r="A212" s="4">
        <v>2.0</v>
      </c>
      <c r="B212" s="4">
        <f>VLOOKUP(Transactions!C210, Inventory_data!$A$1:$G$86, 5, True)</f>
        <v>1.44</v>
      </c>
    </row>
    <row r="213">
      <c r="A213" s="4">
        <v>35.0</v>
      </c>
      <c r="B213" s="4">
        <f>VLOOKUP(Transactions!C211, Inventory_data!$A$1:$G$86, 5, True)</f>
        <v>1.39</v>
      </c>
    </row>
    <row r="214">
      <c r="A214" s="4">
        <v>6.0</v>
      </c>
      <c r="B214" s="4">
        <f>VLOOKUP(Transactions!C212, Inventory_data!$A$1:$G$86, 5, True)</f>
        <v>1.69</v>
      </c>
    </row>
    <row r="215">
      <c r="A215" s="4">
        <v>23.0</v>
      </c>
      <c r="B215" s="4">
        <f>VLOOKUP(Transactions!C213, Inventory_data!$A$1:$G$86, 5, True)</f>
        <v>0.91</v>
      </c>
    </row>
    <row r="216">
      <c r="A216" s="4">
        <v>46.0</v>
      </c>
      <c r="B216" s="4">
        <f>VLOOKUP(Transactions!C214, Inventory_data!$A$1:$G$86, 5, True)</f>
        <v>16.99</v>
      </c>
    </row>
    <row r="217">
      <c r="A217" s="4">
        <v>21.0</v>
      </c>
      <c r="B217" s="4">
        <f>VLOOKUP(Transactions!C215, Inventory_data!$A$1:$G$86, 5, True)</f>
        <v>2.59</v>
      </c>
    </row>
    <row r="218">
      <c r="A218" s="4">
        <v>11.0</v>
      </c>
      <c r="B218" s="4">
        <f>VLOOKUP(Transactions!C216, Inventory_data!$A$1:$G$86, 5, True)</f>
        <v>4.89</v>
      </c>
    </row>
    <row r="219">
      <c r="A219" s="4">
        <v>64.0</v>
      </c>
      <c r="B219" s="4">
        <f>VLOOKUP(Transactions!C217, Inventory_data!$A$1:$G$86, 5, True)</f>
        <v>1.22</v>
      </c>
    </row>
    <row r="220">
      <c r="A220" s="4">
        <v>15.0</v>
      </c>
      <c r="B220" s="4">
        <f>VLOOKUP(Transactions!C218, Inventory_data!$A$1:$G$86, 5, True)</f>
        <v>0.43</v>
      </c>
    </row>
    <row r="221">
      <c r="A221" s="4">
        <v>76.0</v>
      </c>
      <c r="B221" s="4">
        <f>VLOOKUP(Transactions!C219, Inventory_data!$A$1:$G$86, 5, True)</f>
        <v>0.69</v>
      </c>
    </row>
    <row r="222">
      <c r="A222" s="4">
        <v>7.0</v>
      </c>
      <c r="B222" s="4">
        <f>VLOOKUP(Transactions!C220, Inventory_data!$A$1:$G$86, 5, True)</f>
        <v>2.54</v>
      </c>
    </row>
    <row r="223">
      <c r="A223" s="4">
        <v>40.0</v>
      </c>
      <c r="B223" s="4">
        <f>VLOOKUP(Transactions!C221, Inventory_data!$A$1:$G$86, 5, True)</f>
        <v>1.17</v>
      </c>
    </row>
    <row r="224">
      <c r="A224" s="4">
        <v>38.0</v>
      </c>
      <c r="B224" s="4">
        <f>VLOOKUP(Transactions!C222, Inventory_data!$A$1:$G$86, 5, True)</f>
        <v>1.19</v>
      </c>
    </row>
    <row r="225">
      <c r="A225" s="4">
        <v>36.0</v>
      </c>
      <c r="B225" s="4">
        <f>VLOOKUP(Transactions!C223, Inventory_data!$A$1:$G$86, 5, True)</f>
        <v>1.12</v>
      </c>
    </row>
    <row r="226">
      <c r="A226" s="4">
        <v>75.0</v>
      </c>
      <c r="B226" s="4">
        <f>VLOOKUP(Transactions!C224, Inventory_data!$A$1:$G$86, 5, True)</f>
        <v>0.57</v>
      </c>
    </row>
    <row r="227">
      <c r="A227" s="4">
        <v>35.0</v>
      </c>
      <c r="B227" s="4">
        <f>VLOOKUP(Transactions!C225, Inventory_data!$A$1:$G$86, 5, True)</f>
        <v>1.39</v>
      </c>
    </row>
    <row r="228">
      <c r="A228" s="4">
        <v>15.0</v>
      </c>
      <c r="B228" s="4">
        <f>VLOOKUP(Transactions!C226, Inventory_data!$A$1:$G$86, 5, True)</f>
        <v>0.43</v>
      </c>
    </row>
    <row r="229">
      <c r="A229" s="4">
        <v>40.0</v>
      </c>
      <c r="B229" s="4">
        <f>VLOOKUP(Transactions!C227, Inventory_data!$A$1:$G$86, 5, True)</f>
        <v>1.17</v>
      </c>
    </row>
    <row r="230">
      <c r="A230" s="4">
        <v>78.0</v>
      </c>
      <c r="B230" s="4">
        <f>VLOOKUP(Transactions!C228, Inventory_data!$A$1:$G$86, 5, True)</f>
        <v>1.44</v>
      </c>
    </row>
    <row r="231">
      <c r="A231" s="4">
        <v>2.0</v>
      </c>
      <c r="B231" s="4">
        <f>VLOOKUP(Transactions!C229, Inventory_data!$A$1:$G$86, 5, True)</f>
        <v>1.44</v>
      </c>
    </row>
    <row r="232">
      <c r="A232" s="4">
        <v>64.0</v>
      </c>
      <c r="B232" s="4">
        <f>VLOOKUP(Transactions!C230, Inventory_data!$A$1:$G$86, 5, True)</f>
        <v>1.22</v>
      </c>
    </row>
    <row r="233">
      <c r="A233" s="4">
        <v>13.0</v>
      </c>
      <c r="B233" s="4">
        <f>VLOOKUP(Transactions!C231, Inventory_data!$A$1:$G$86, 5, True)</f>
        <v>0.38</v>
      </c>
    </row>
    <row r="234">
      <c r="A234" s="4">
        <v>78.0</v>
      </c>
      <c r="B234" s="4">
        <f>VLOOKUP(Transactions!C232, Inventory_data!$A$1:$G$86, 5, True)</f>
        <v>1.44</v>
      </c>
    </row>
    <row r="235">
      <c r="A235" s="4">
        <v>48.0</v>
      </c>
      <c r="B235" s="4">
        <f>VLOOKUP(Transactions!C233, Inventory_data!$A$1:$G$86, 5, True)</f>
        <v>0.89</v>
      </c>
    </row>
    <row r="236">
      <c r="A236" s="4">
        <v>17.0</v>
      </c>
      <c r="B236" s="4">
        <f>VLOOKUP(Transactions!C234, Inventory_data!$A$1:$G$86, 5, True)</f>
        <v>2.67</v>
      </c>
    </row>
    <row r="237">
      <c r="A237" s="4">
        <v>15.0</v>
      </c>
      <c r="B237" s="4">
        <f>VLOOKUP(Transactions!C235, Inventory_data!$A$1:$G$86, 5, True)</f>
        <v>0.43</v>
      </c>
    </row>
    <row r="238">
      <c r="A238" s="4">
        <v>48.0</v>
      </c>
      <c r="B238" s="4">
        <f>VLOOKUP(Transactions!C236, Inventory_data!$A$1:$G$86, 5, True)</f>
        <v>0.89</v>
      </c>
    </row>
    <row r="239">
      <c r="A239" s="4">
        <v>39.0</v>
      </c>
      <c r="B239" s="4">
        <f>VLOOKUP(Transactions!C237, Inventory_data!$A$1:$G$86, 5, True)</f>
        <v>0.59</v>
      </c>
    </row>
    <row r="240">
      <c r="A240" s="4">
        <v>35.0</v>
      </c>
      <c r="B240" s="4">
        <f>VLOOKUP(Transactions!C238, Inventory_data!$A$1:$G$86, 5, True)</f>
        <v>1.39</v>
      </c>
    </row>
    <row r="241">
      <c r="A241" s="4">
        <v>57.0</v>
      </c>
      <c r="B241" s="4">
        <f>VLOOKUP(Transactions!C239, Inventory_data!$A$1:$G$86, 5, True)</f>
        <v>3.6</v>
      </c>
    </row>
    <row r="242">
      <c r="A242" s="4">
        <v>72.0</v>
      </c>
      <c r="B242" s="4">
        <f>VLOOKUP(Transactions!C240, Inventory_data!$A$1:$G$86, 5, True)</f>
        <v>0.27</v>
      </c>
    </row>
    <row r="243">
      <c r="A243" s="4">
        <v>51.0</v>
      </c>
      <c r="B243" s="4">
        <f>VLOOKUP(Transactions!C241, Inventory_data!$A$1:$G$86, 5, True)</f>
        <v>0.89</v>
      </c>
    </row>
    <row r="244">
      <c r="A244" s="4">
        <v>75.0</v>
      </c>
      <c r="B244" s="4">
        <f>VLOOKUP(Transactions!C242, Inventory_data!$A$1:$G$86, 5, True)</f>
        <v>0.57</v>
      </c>
    </row>
    <row r="245">
      <c r="A245" s="4">
        <v>42.0</v>
      </c>
      <c r="B245" s="4">
        <f>VLOOKUP(Transactions!C243, Inventory_data!$A$1:$G$86, 5, True)</f>
        <v>5.99</v>
      </c>
    </row>
    <row r="246">
      <c r="A246" s="4">
        <v>17.0</v>
      </c>
      <c r="B246" s="4">
        <f>VLOOKUP(Transactions!C244, Inventory_data!$A$1:$G$86, 5, True)</f>
        <v>2.67</v>
      </c>
    </row>
    <row r="247">
      <c r="A247" s="4">
        <v>81.0</v>
      </c>
      <c r="B247" s="4">
        <f>VLOOKUP(Transactions!C245, Inventory_data!$A$1:$G$86, 5, True)</f>
        <v>2.99</v>
      </c>
    </row>
    <row r="248">
      <c r="A248" s="4">
        <v>24.0</v>
      </c>
      <c r="B248" s="4">
        <f>VLOOKUP(Transactions!C246, Inventory_data!$A$1:$G$86, 5, True)</f>
        <v>0.56</v>
      </c>
    </row>
    <row r="249">
      <c r="A249" s="4">
        <v>57.0</v>
      </c>
      <c r="B249" s="4">
        <f>VLOOKUP(Transactions!C247, Inventory_data!$A$1:$G$86, 5, True)</f>
        <v>3.6</v>
      </c>
    </row>
    <row r="250">
      <c r="A250" s="4">
        <v>57.0</v>
      </c>
      <c r="B250" s="4">
        <f>VLOOKUP(Transactions!C248, Inventory_data!$A$1:$G$86, 5, True)</f>
        <v>3.6</v>
      </c>
    </row>
    <row r="251">
      <c r="A251" s="4">
        <v>46.0</v>
      </c>
      <c r="B251" s="4">
        <f>VLOOKUP(Transactions!C249, Inventory_data!$A$1:$G$86, 5, True)</f>
        <v>16.99</v>
      </c>
    </row>
    <row r="252">
      <c r="A252" s="4">
        <v>38.0</v>
      </c>
      <c r="B252" s="4">
        <f>VLOOKUP(Transactions!C250, Inventory_data!$A$1:$G$86, 5, True)</f>
        <v>1.19</v>
      </c>
    </row>
    <row r="253">
      <c r="A253" s="4">
        <v>36.0</v>
      </c>
      <c r="B253" s="4">
        <f>VLOOKUP(Transactions!C251, Inventory_data!$A$1:$G$86, 5, True)</f>
        <v>1.12</v>
      </c>
    </row>
    <row r="254">
      <c r="A254" s="4">
        <v>34.0</v>
      </c>
      <c r="B254" s="4">
        <f>VLOOKUP(Transactions!C252, Inventory_data!$A$1:$G$86, 5, True)</f>
        <v>0.95</v>
      </c>
    </row>
    <row r="255">
      <c r="A255" s="4">
        <v>60.0</v>
      </c>
      <c r="B255" s="4">
        <f>VLOOKUP(Transactions!C253, Inventory_data!$A$1:$G$86, 5, True)</f>
        <v>2.06</v>
      </c>
    </row>
    <row r="256">
      <c r="A256" s="4">
        <v>12.0</v>
      </c>
      <c r="B256" s="4">
        <f>VLOOKUP(Transactions!C254, Inventory_data!$A$1:$G$86, 5, True)</f>
        <v>1.15</v>
      </c>
    </row>
    <row r="257">
      <c r="A257" s="4">
        <v>5.0</v>
      </c>
      <c r="B257" s="4">
        <f>VLOOKUP(Transactions!C255, Inventory_data!$A$1:$G$86, 5, True)</f>
        <v>3.86</v>
      </c>
    </row>
    <row r="258">
      <c r="A258" s="4">
        <v>27.0</v>
      </c>
      <c r="B258" s="4">
        <f>VLOOKUP(Transactions!C256, Inventory_data!$A$1:$G$86, 5, True)</f>
        <v>6</v>
      </c>
    </row>
    <row r="259">
      <c r="A259" s="4">
        <v>25.0</v>
      </c>
      <c r="B259" s="4">
        <f>VLOOKUP(Transactions!C257, Inventory_data!$A$1:$G$86, 5, True)</f>
        <v>39.99</v>
      </c>
    </row>
    <row r="260">
      <c r="A260" s="4">
        <v>78.0</v>
      </c>
      <c r="B260" s="4">
        <f>VLOOKUP(Transactions!C258, Inventory_data!$A$1:$G$86, 5, True)</f>
        <v>1.44</v>
      </c>
    </row>
    <row r="261">
      <c r="A261" s="4">
        <v>37.0</v>
      </c>
      <c r="B261" s="4">
        <f>VLOOKUP(Transactions!C259, Inventory_data!$A$1:$G$86, 5, True)</f>
        <v>3.52</v>
      </c>
    </row>
    <row r="262">
      <c r="A262" s="4">
        <v>59.0</v>
      </c>
      <c r="B262" s="4">
        <f>VLOOKUP(Transactions!C260, Inventory_data!$A$1:$G$86, 5, True)</f>
        <v>4.29</v>
      </c>
    </row>
    <row r="263">
      <c r="A263" s="4">
        <v>70.0</v>
      </c>
      <c r="B263" s="4">
        <f>VLOOKUP(Transactions!C261, Inventory_data!$A$1:$G$86, 5, True)</f>
        <v>0.19</v>
      </c>
    </row>
    <row r="264">
      <c r="A264" s="4">
        <v>46.0</v>
      </c>
      <c r="B264" s="4">
        <f>VLOOKUP(Transactions!C262, Inventory_data!$A$1:$G$86, 5, True)</f>
        <v>16.99</v>
      </c>
    </row>
    <row r="265">
      <c r="A265" s="4">
        <v>11.0</v>
      </c>
      <c r="B265" s="4">
        <f>VLOOKUP(Transactions!C263, Inventory_data!$A$1:$G$86, 5, True)</f>
        <v>4.89</v>
      </c>
    </row>
    <row r="266">
      <c r="A266" s="4">
        <v>72.0</v>
      </c>
      <c r="B266" s="4">
        <f>VLOOKUP(Transactions!C264, Inventory_data!$A$1:$G$86, 5, True)</f>
        <v>0.27</v>
      </c>
    </row>
    <row r="267">
      <c r="A267" s="4">
        <v>65.0</v>
      </c>
      <c r="B267" s="4">
        <f>VLOOKUP(Transactions!C265, Inventory_data!$A$1:$G$86, 5, True)</f>
        <v>1.32</v>
      </c>
    </row>
    <row r="268">
      <c r="A268" s="4">
        <v>27.0</v>
      </c>
      <c r="B268" s="4">
        <f>VLOOKUP(Transactions!C266, Inventory_data!$A$1:$G$86, 5, True)</f>
        <v>6</v>
      </c>
    </row>
    <row r="269">
      <c r="A269" s="4">
        <v>77.0</v>
      </c>
      <c r="B269" s="4">
        <f>VLOOKUP(Transactions!C267, Inventory_data!$A$1:$G$86, 5, True)</f>
        <v>2.67</v>
      </c>
    </row>
    <row r="270">
      <c r="A270" s="4">
        <v>13.0</v>
      </c>
      <c r="B270" s="4">
        <f>VLOOKUP(Transactions!C268, Inventory_data!$A$1:$G$86, 5, True)</f>
        <v>0.38</v>
      </c>
    </row>
    <row r="271">
      <c r="A271" s="4">
        <v>11.0</v>
      </c>
      <c r="B271" s="4">
        <f>VLOOKUP(Transactions!C269, Inventory_data!$A$1:$G$86, 5, True)</f>
        <v>4.89</v>
      </c>
    </row>
    <row r="272">
      <c r="A272" s="4">
        <v>37.0</v>
      </c>
      <c r="B272" s="4">
        <f>VLOOKUP(Transactions!C270, Inventory_data!$A$1:$G$86, 5, True)</f>
        <v>3.52</v>
      </c>
    </row>
    <row r="273">
      <c r="A273" s="4">
        <v>9.0</v>
      </c>
      <c r="B273" s="4">
        <f>VLOOKUP(Transactions!C271, Inventory_data!$A$1:$G$86, 5, True)</f>
        <v>0.96</v>
      </c>
    </row>
    <row r="274">
      <c r="A274" s="4">
        <v>23.0</v>
      </c>
      <c r="B274" s="4">
        <f>VLOOKUP(Transactions!C272, Inventory_data!$A$1:$G$86, 5, True)</f>
        <v>0.91</v>
      </c>
    </row>
    <row r="275">
      <c r="A275" s="4">
        <v>40.0</v>
      </c>
      <c r="B275" s="4">
        <f>VLOOKUP(Transactions!C273, Inventory_data!$A$1:$G$86, 5, True)</f>
        <v>1.17</v>
      </c>
    </row>
    <row r="276">
      <c r="A276" s="4">
        <v>75.0</v>
      </c>
      <c r="B276" s="4">
        <f>VLOOKUP(Transactions!C274, Inventory_data!$A$1:$G$86, 5, True)</f>
        <v>0.57</v>
      </c>
    </row>
    <row r="277">
      <c r="A277" s="4">
        <v>8.0</v>
      </c>
      <c r="B277" s="4">
        <f>VLOOKUP(Transactions!C275, Inventory_data!$A$1:$G$86, 5, True)</f>
        <v>3.99</v>
      </c>
    </row>
    <row r="278">
      <c r="A278" s="4">
        <v>18.0</v>
      </c>
      <c r="B278" s="4">
        <f>VLOOKUP(Transactions!C276, Inventory_data!$A$1:$G$86, 5, True)</f>
        <v>0.67</v>
      </c>
    </row>
    <row r="279">
      <c r="A279" s="4">
        <v>48.0</v>
      </c>
      <c r="B279" s="4">
        <f>VLOOKUP(Transactions!C277, Inventory_data!$A$1:$G$86, 5, True)</f>
        <v>0.89</v>
      </c>
    </row>
    <row r="280">
      <c r="A280" s="4">
        <v>76.0</v>
      </c>
      <c r="B280" s="4">
        <f>VLOOKUP(Transactions!C278, Inventory_data!$A$1:$G$86, 5, True)</f>
        <v>0.69</v>
      </c>
    </row>
    <row r="281">
      <c r="A281" s="4">
        <v>53.0</v>
      </c>
      <c r="B281" s="4">
        <f>VLOOKUP(Transactions!C279, Inventory_data!$A$1:$G$86, 5, True)</f>
        <v>1.69</v>
      </c>
    </row>
    <row r="282">
      <c r="A282" s="4">
        <v>63.0</v>
      </c>
      <c r="B282" s="4">
        <f>VLOOKUP(Transactions!C280, Inventory_data!$A$1:$G$86, 5, True)</f>
        <v>3.57</v>
      </c>
    </row>
    <row r="283">
      <c r="A283" s="4">
        <v>7.0</v>
      </c>
      <c r="B283" s="4">
        <f>VLOOKUP(Transactions!C281, Inventory_data!$A$1:$G$86, 5, True)</f>
        <v>2.54</v>
      </c>
    </row>
    <row r="284">
      <c r="A284" s="4">
        <v>32.0</v>
      </c>
      <c r="B284" s="4">
        <f>VLOOKUP(Transactions!C282, Inventory_data!$A$1:$G$86, 5, True)</f>
        <v>2.99</v>
      </c>
    </row>
    <row r="285">
      <c r="A285" s="4">
        <v>20.0</v>
      </c>
      <c r="B285" s="4">
        <f>VLOOKUP(Transactions!C283, Inventory_data!$A$1:$G$86, 5, True)</f>
        <v>1.11</v>
      </c>
    </row>
    <row r="286">
      <c r="A286" s="4">
        <v>63.0</v>
      </c>
      <c r="B286" s="4">
        <f>VLOOKUP(Transactions!C284, Inventory_data!$A$1:$G$86, 5, True)</f>
        <v>3.57</v>
      </c>
    </row>
    <row r="287">
      <c r="A287" s="4">
        <v>27.0</v>
      </c>
      <c r="B287" s="4">
        <f>VLOOKUP(Transactions!C285, Inventory_data!$A$1:$G$86, 5, True)</f>
        <v>6</v>
      </c>
    </row>
    <row r="288">
      <c r="A288" s="4">
        <v>49.0</v>
      </c>
      <c r="B288" s="4">
        <f>VLOOKUP(Transactions!C286, Inventory_data!$A$1:$G$86, 5, True)</f>
        <v>0.67</v>
      </c>
    </row>
    <row r="289">
      <c r="A289" s="4">
        <v>58.0</v>
      </c>
      <c r="B289" s="4">
        <f>VLOOKUP(Transactions!C287, Inventory_data!$A$1:$G$86, 5, True)</f>
        <v>0.96</v>
      </c>
    </row>
    <row r="290">
      <c r="A290" s="4">
        <v>19.0</v>
      </c>
      <c r="B290" s="4">
        <f>VLOOKUP(Transactions!C288, Inventory_data!$A$1:$G$86, 5, True)</f>
        <v>0.41</v>
      </c>
    </row>
    <row r="291">
      <c r="A291" s="4">
        <v>83.0</v>
      </c>
      <c r="B291" s="4">
        <f>VLOOKUP(Transactions!C289, Inventory_data!$A$1:$G$86, 5, True)</f>
        <v>0.39</v>
      </c>
    </row>
    <row r="292">
      <c r="A292" s="4">
        <v>44.0</v>
      </c>
      <c r="B292" s="4">
        <f>VLOOKUP(Transactions!C290, Inventory_data!$A$1:$G$86, 5, True)</f>
        <v>4.99</v>
      </c>
    </row>
    <row r="293">
      <c r="A293" s="4">
        <v>4.0</v>
      </c>
      <c r="B293" s="4">
        <f>VLOOKUP(Transactions!C291, Inventory_data!$A$1:$G$86, 5, True)</f>
        <v>1.19</v>
      </c>
    </row>
    <row r="294">
      <c r="A294" s="4">
        <v>40.0</v>
      </c>
      <c r="B294" s="4">
        <f>VLOOKUP(Transactions!C292, Inventory_data!$A$1:$G$86, 5, True)</f>
        <v>1.17</v>
      </c>
    </row>
    <row r="295">
      <c r="A295" s="4">
        <v>5.0</v>
      </c>
      <c r="B295" s="4">
        <f>VLOOKUP(Transactions!C293, Inventory_data!$A$1:$G$86, 5, True)</f>
        <v>3.86</v>
      </c>
    </row>
    <row r="296">
      <c r="A296" s="4">
        <v>36.0</v>
      </c>
      <c r="B296" s="4">
        <f>VLOOKUP(Transactions!C294, Inventory_data!$A$1:$G$86, 5, True)</f>
        <v>1.12</v>
      </c>
    </row>
    <row r="297">
      <c r="A297" s="4">
        <v>15.0</v>
      </c>
      <c r="B297" s="4">
        <f>VLOOKUP(Transactions!C295, Inventory_data!$A$1:$G$86, 5, True)</f>
        <v>0.43</v>
      </c>
    </row>
    <row r="298">
      <c r="A298" s="4">
        <v>21.0</v>
      </c>
      <c r="B298" s="4">
        <f>VLOOKUP(Transactions!C296, Inventory_data!$A$1:$G$86, 5, True)</f>
        <v>2.59</v>
      </c>
    </row>
    <row r="299">
      <c r="A299" s="4">
        <v>55.0</v>
      </c>
      <c r="B299" s="4">
        <f>VLOOKUP(Transactions!C297, Inventory_data!$A$1:$G$86, 5, True)</f>
        <v>1.1</v>
      </c>
    </row>
    <row r="300">
      <c r="A300" s="4">
        <v>71.0</v>
      </c>
      <c r="B300" s="4">
        <f>VLOOKUP(Transactions!C298, Inventory_data!$A$1:$G$86, 5, True)</f>
        <v>0.24</v>
      </c>
    </row>
    <row r="301">
      <c r="A301" s="4">
        <v>55.0</v>
      </c>
      <c r="B301" s="4">
        <f>VLOOKUP(Transactions!C299, Inventory_data!$A$1:$G$86, 5, True)</f>
        <v>1.1</v>
      </c>
    </row>
    <row r="302">
      <c r="A302" s="4">
        <v>4.0</v>
      </c>
      <c r="B302" s="4">
        <f>VLOOKUP(Transactions!C300, Inventory_data!$A$1:$G$86, 5, True)</f>
        <v>1.19</v>
      </c>
    </row>
    <row r="303">
      <c r="A303" s="4">
        <v>59.0</v>
      </c>
      <c r="B303" s="4">
        <f>VLOOKUP(Transactions!C301, Inventory_data!$A$1:$G$86, 5, True)</f>
        <v>4.29</v>
      </c>
    </row>
    <row r="304">
      <c r="A304" s="4">
        <v>72.0</v>
      </c>
      <c r="B304" s="4">
        <f>VLOOKUP(Transactions!C302, Inventory_data!$A$1:$G$86, 5, True)</f>
        <v>0.27</v>
      </c>
    </row>
    <row r="305">
      <c r="A305" s="4">
        <v>33.0</v>
      </c>
      <c r="B305" s="4">
        <f>VLOOKUP(Transactions!C303, Inventory_data!$A$1:$G$86, 5, True)</f>
        <v>0.97</v>
      </c>
    </row>
    <row r="306">
      <c r="A306" s="4">
        <v>49.0</v>
      </c>
      <c r="B306" s="4">
        <f>VLOOKUP(Transactions!C304, Inventory_data!$A$1:$G$86, 5, True)</f>
        <v>0.67</v>
      </c>
    </row>
    <row r="307">
      <c r="A307" s="4">
        <v>69.0</v>
      </c>
      <c r="B307" s="4">
        <f>VLOOKUP(Transactions!C305, Inventory_data!$A$1:$G$86, 5, True)</f>
        <v>0.27</v>
      </c>
    </row>
    <row r="308">
      <c r="A308" s="4">
        <v>15.0</v>
      </c>
      <c r="B308" s="4">
        <f>VLOOKUP(Transactions!C306, Inventory_data!$A$1:$G$86, 5, True)</f>
        <v>0.43</v>
      </c>
    </row>
    <row r="309">
      <c r="A309" s="4">
        <v>11.0</v>
      </c>
      <c r="B309" s="4">
        <f>VLOOKUP(Transactions!C307, Inventory_data!$A$1:$G$86, 5, True)</f>
        <v>4.89</v>
      </c>
    </row>
    <row r="310">
      <c r="A310" s="4">
        <v>73.0</v>
      </c>
      <c r="B310" s="4">
        <f>VLOOKUP(Transactions!C308, Inventory_data!$A$1:$G$86, 5, True)</f>
        <v>0.69</v>
      </c>
    </row>
    <row r="311">
      <c r="A311" s="4">
        <v>27.0</v>
      </c>
      <c r="B311" s="4">
        <f>VLOOKUP(Transactions!C309, Inventory_data!$A$1:$G$86, 5, True)</f>
        <v>6</v>
      </c>
    </row>
    <row r="312">
      <c r="A312" s="4">
        <v>10.0</v>
      </c>
      <c r="B312" s="4">
        <f>VLOOKUP(Transactions!C310, Inventory_data!$A$1:$G$86, 5, True)</f>
        <v>0.96</v>
      </c>
    </row>
    <row r="313">
      <c r="A313" s="4">
        <v>39.0</v>
      </c>
      <c r="B313" s="4">
        <f>VLOOKUP(Transactions!C311, Inventory_data!$A$1:$G$86, 5, True)</f>
        <v>0.59</v>
      </c>
    </row>
    <row r="314">
      <c r="A314" s="4">
        <v>84.0</v>
      </c>
      <c r="B314" s="4">
        <f>VLOOKUP(Transactions!C312, Inventory_data!$A$1:$G$86, 5, True)</f>
        <v>2.59</v>
      </c>
    </row>
    <row r="315">
      <c r="A315" s="4">
        <v>13.0</v>
      </c>
      <c r="B315" s="4">
        <f>VLOOKUP(Transactions!C313, Inventory_data!$A$1:$G$86, 5, True)</f>
        <v>0.38</v>
      </c>
    </row>
    <row r="316">
      <c r="A316" s="4">
        <v>55.0</v>
      </c>
      <c r="B316" s="4">
        <f>VLOOKUP(Transactions!C314, Inventory_data!$A$1:$G$86, 5, True)</f>
        <v>1.1</v>
      </c>
    </row>
    <row r="317">
      <c r="A317" s="4">
        <v>40.0</v>
      </c>
      <c r="B317" s="4">
        <f>VLOOKUP(Transactions!C315, Inventory_data!$A$1:$G$86, 5, True)</f>
        <v>1.17</v>
      </c>
    </row>
    <row r="318">
      <c r="A318" s="4">
        <v>5.0</v>
      </c>
      <c r="B318" s="4">
        <f>VLOOKUP(Transactions!C316, Inventory_data!$A$1:$G$86, 5, True)</f>
        <v>3.86</v>
      </c>
    </row>
    <row r="319">
      <c r="A319" s="4">
        <v>54.0</v>
      </c>
      <c r="B319" s="4">
        <f>VLOOKUP(Transactions!C317, Inventory_data!$A$1:$G$86, 5, True)</f>
        <v>1.23</v>
      </c>
    </row>
    <row r="320">
      <c r="A320" s="4">
        <v>69.0</v>
      </c>
      <c r="B320" s="4">
        <f>VLOOKUP(Transactions!C318, Inventory_data!$A$1:$G$86, 5, True)</f>
        <v>0.27</v>
      </c>
    </row>
    <row r="321">
      <c r="A321" s="4">
        <v>2.0</v>
      </c>
      <c r="B321" s="4">
        <f>VLOOKUP(Transactions!C319, Inventory_data!$A$1:$G$86, 5, True)</f>
        <v>1.44</v>
      </c>
    </row>
    <row r="322">
      <c r="A322" s="4">
        <v>31.0</v>
      </c>
      <c r="B322" s="4">
        <f>VLOOKUP(Transactions!C320, Inventory_data!$A$1:$G$86, 5, True)</f>
        <v>0.61</v>
      </c>
    </row>
    <row r="323">
      <c r="A323" s="4">
        <v>73.0</v>
      </c>
      <c r="B323" s="4">
        <f>VLOOKUP(Transactions!C321, Inventory_data!$A$1:$G$86, 5, True)</f>
        <v>0.69</v>
      </c>
    </row>
    <row r="324">
      <c r="A324" s="4">
        <v>31.0</v>
      </c>
      <c r="B324" s="4">
        <f>VLOOKUP(Transactions!C322, Inventory_data!$A$1:$G$86, 5, True)</f>
        <v>0.61</v>
      </c>
    </row>
    <row r="325">
      <c r="A325" s="4">
        <v>24.0</v>
      </c>
      <c r="B325" s="4">
        <f>VLOOKUP(Transactions!C323, Inventory_data!$A$1:$G$86, 5, True)</f>
        <v>0.56</v>
      </c>
    </row>
    <row r="326">
      <c r="A326" s="4">
        <v>73.0</v>
      </c>
      <c r="B326" s="4">
        <f>VLOOKUP(Transactions!C324, Inventory_data!$A$1:$G$86, 5, True)</f>
        <v>0.69</v>
      </c>
    </row>
    <row r="327">
      <c r="A327" s="4">
        <v>77.0</v>
      </c>
      <c r="B327" s="4">
        <f>VLOOKUP(Transactions!C325, Inventory_data!$A$1:$G$86, 5, True)</f>
        <v>2.67</v>
      </c>
    </row>
    <row r="328">
      <c r="A328" s="4">
        <v>84.0</v>
      </c>
      <c r="B328" s="4">
        <f>VLOOKUP(Transactions!C326, Inventory_data!$A$1:$G$86, 5, True)</f>
        <v>2.59</v>
      </c>
    </row>
    <row r="329">
      <c r="A329" s="4">
        <v>46.0</v>
      </c>
      <c r="B329" s="4">
        <f>VLOOKUP(Transactions!C327, Inventory_data!$A$1:$G$86, 5, True)</f>
        <v>16.99</v>
      </c>
    </row>
    <row r="330">
      <c r="A330" s="4">
        <v>52.0</v>
      </c>
      <c r="B330" s="4">
        <f>VLOOKUP(Transactions!C328, Inventory_data!$A$1:$G$86, 5, True)</f>
        <v>1.79</v>
      </c>
    </row>
    <row r="331">
      <c r="A331" s="4">
        <v>79.0</v>
      </c>
      <c r="B331" s="4">
        <f>VLOOKUP(Transactions!C329, Inventory_data!$A$1:$G$86, 5, True)</f>
        <v>3.3</v>
      </c>
    </row>
    <row r="332">
      <c r="A332" s="4">
        <v>31.0</v>
      </c>
      <c r="B332" s="4">
        <f>VLOOKUP(Transactions!C330, Inventory_data!$A$1:$G$86, 5, True)</f>
        <v>0.61</v>
      </c>
    </row>
    <row r="333">
      <c r="A333" s="4">
        <v>52.0</v>
      </c>
      <c r="B333" s="4">
        <f>VLOOKUP(Transactions!C331, Inventory_data!$A$1:$G$86, 5, True)</f>
        <v>1.79</v>
      </c>
    </row>
    <row r="334">
      <c r="A334" s="4">
        <v>39.0</v>
      </c>
      <c r="B334" s="4">
        <f>VLOOKUP(Transactions!C332, Inventory_data!$A$1:$G$86, 5, True)</f>
        <v>0.59</v>
      </c>
    </row>
    <row r="335">
      <c r="A335" s="4">
        <v>58.0</v>
      </c>
      <c r="B335" s="4">
        <f>VLOOKUP(Transactions!C333, Inventory_data!$A$1:$G$86, 5, True)</f>
        <v>0.96</v>
      </c>
    </row>
    <row r="336">
      <c r="A336" s="4">
        <v>15.0</v>
      </c>
      <c r="B336" s="4">
        <f>VLOOKUP(Transactions!C334, Inventory_data!$A$1:$G$86, 5, True)</f>
        <v>0.43</v>
      </c>
    </row>
    <row r="337">
      <c r="A337" s="4">
        <v>71.0</v>
      </c>
      <c r="B337" s="4">
        <f>VLOOKUP(Transactions!C335, Inventory_data!$A$1:$G$86, 5, True)</f>
        <v>0.24</v>
      </c>
    </row>
    <row r="338">
      <c r="A338" s="4">
        <v>54.0</v>
      </c>
      <c r="B338" s="4">
        <f>VLOOKUP(Transactions!C336, Inventory_data!$A$1:$G$86, 5, True)</f>
        <v>1.23</v>
      </c>
    </row>
    <row r="339">
      <c r="A339" s="4">
        <v>9.0</v>
      </c>
      <c r="B339" s="4">
        <f>VLOOKUP(Transactions!C337, Inventory_data!$A$1:$G$86, 5, True)</f>
        <v>0.96</v>
      </c>
    </row>
    <row r="340">
      <c r="A340" s="4">
        <v>12.0</v>
      </c>
      <c r="B340" s="4">
        <f>VLOOKUP(Transactions!C338, Inventory_data!$A$1:$G$86, 5, True)</f>
        <v>1.15</v>
      </c>
    </row>
    <row r="341">
      <c r="A341" s="4">
        <v>13.0</v>
      </c>
      <c r="B341" s="4">
        <f>VLOOKUP(Transactions!C339, Inventory_data!$A$1:$G$86, 5, True)</f>
        <v>0.38</v>
      </c>
    </row>
    <row r="342">
      <c r="A342" s="4">
        <v>84.0</v>
      </c>
      <c r="B342" s="4">
        <f>VLOOKUP(Transactions!C340, Inventory_data!$A$1:$G$86, 5, True)</f>
        <v>2.59</v>
      </c>
    </row>
    <row r="343">
      <c r="A343" s="4">
        <v>65.0</v>
      </c>
      <c r="B343" s="4">
        <f>VLOOKUP(Transactions!C341, Inventory_data!$A$1:$G$86, 5, True)</f>
        <v>1.32</v>
      </c>
    </row>
    <row r="344">
      <c r="A344" s="4">
        <v>1.0</v>
      </c>
      <c r="B344" s="4">
        <f>VLOOKUP(Transactions!C342, Inventory_data!$A$1:$G$86, 5, True)</f>
        <v>3.28</v>
      </c>
    </row>
    <row r="345">
      <c r="A345" s="4">
        <v>56.0</v>
      </c>
      <c r="B345" s="4">
        <f>VLOOKUP(Transactions!C343, Inventory_data!$A$1:$G$86, 5, True)</f>
        <v>0.86</v>
      </c>
    </row>
    <row r="346">
      <c r="A346" s="4">
        <v>54.0</v>
      </c>
      <c r="B346" s="4">
        <f>VLOOKUP(Transactions!C344, Inventory_data!$A$1:$G$86, 5, True)</f>
        <v>1.23</v>
      </c>
    </row>
    <row r="347">
      <c r="A347" s="4">
        <v>64.0</v>
      </c>
      <c r="B347" s="4">
        <f>VLOOKUP(Transactions!C345, Inventory_data!$A$1:$G$86, 5, True)</f>
        <v>1.22</v>
      </c>
    </row>
    <row r="348">
      <c r="A348" s="4">
        <v>12.0</v>
      </c>
      <c r="B348" s="4">
        <f>VLOOKUP(Transactions!C346, Inventory_data!$A$1:$G$86, 5, True)</f>
        <v>1.15</v>
      </c>
    </row>
    <row r="349">
      <c r="A349" s="4">
        <v>69.0</v>
      </c>
      <c r="B349" s="4">
        <f>VLOOKUP(Transactions!C347, Inventory_data!$A$1:$G$86, 5, True)</f>
        <v>0.27</v>
      </c>
    </row>
    <row r="350">
      <c r="A350" s="4">
        <v>37.0</v>
      </c>
      <c r="B350" s="4">
        <f>VLOOKUP(Transactions!C348, Inventory_data!$A$1:$G$86, 5, True)</f>
        <v>3.52</v>
      </c>
    </row>
    <row r="351">
      <c r="A351" s="4">
        <v>8.0</v>
      </c>
      <c r="B351" s="4">
        <f>VLOOKUP(Transactions!C349, Inventory_data!$A$1:$G$86, 5, True)</f>
        <v>3.99</v>
      </c>
    </row>
    <row r="352">
      <c r="A352" s="4">
        <v>8.0</v>
      </c>
      <c r="B352" s="4">
        <f>VLOOKUP(Transactions!C350, Inventory_data!$A$1:$G$86, 5, True)</f>
        <v>3.99</v>
      </c>
    </row>
    <row r="353">
      <c r="A353" s="4">
        <v>61.0</v>
      </c>
      <c r="B353" s="4">
        <f>VLOOKUP(Transactions!C351, Inventory_data!$A$1:$G$86, 5, True)</f>
        <v>0.55</v>
      </c>
    </row>
    <row r="354">
      <c r="A354" s="4">
        <v>9.0</v>
      </c>
      <c r="B354" s="4">
        <f>VLOOKUP(Transactions!C352, Inventory_data!$A$1:$G$86, 5, True)</f>
        <v>0.96</v>
      </c>
    </row>
    <row r="355">
      <c r="A355" s="4">
        <v>29.0</v>
      </c>
      <c r="B355" s="4">
        <f>VLOOKUP(Transactions!C353, Inventory_data!$A$1:$G$86, 5, True)</f>
        <v>0.63</v>
      </c>
    </row>
    <row r="356">
      <c r="A356" s="4">
        <v>72.0</v>
      </c>
      <c r="B356" s="4">
        <f>VLOOKUP(Transactions!C354, Inventory_data!$A$1:$G$86, 5, True)</f>
        <v>0.27</v>
      </c>
    </row>
    <row r="357">
      <c r="A357" s="4">
        <v>54.0</v>
      </c>
      <c r="B357" s="4">
        <f>VLOOKUP(Transactions!C355, Inventory_data!$A$1:$G$86, 5, True)</f>
        <v>1.23</v>
      </c>
    </row>
    <row r="358">
      <c r="A358" s="4">
        <v>47.0</v>
      </c>
      <c r="B358" s="4">
        <f>VLOOKUP(Transactions!C356, Inventory_data!$A$1:$G$86, 5, True)</f>
        <v>1.17</v>
      </c>
    </row>
    <row r="359">
      <c r="A359" s="4">
        <v>77.0</v>
      </c>
      <c r="B359" s="4">
        <f>VLOOKUP(Transactions!C357, Inventory_data!$A$1:$G$86, 5, True)</f>
        <v>2.67</v>
      </c>
    </row>
    <row r="360">
      <c r="A360" s="4">
        <v>25.0</v>
      </c>
      <c r="B360" s="4">
        <f>VLOOKUP(Transactions!C358, Inventory_data!$A$1:$G$86, 5, True)</f>
        <v>39.99</v>
      </c>
    </row>
    <row r="361">
      <c r="A361" s="4">
        <v>78.0</v>
      </c>
      <c r="B361" s="4">
        <f>VLOOKUP(Transactions!C359, Inventory_data!$A$1:$G$86, 5, True)</f>
        <v>1.44</v>
      </c>
    </row>
    <row r="362">
      <c r="A362" s="4">
        <v>1.0</v>
      </c>
      <c r="B362" s="4">
        <f>VLOOKUP(Transactions!C360, Inventory_data!$A$1:$G$86, 5, True)</f>
        <v>3.28</v>
      </c>
    </row>
    <row r="363">
      <c r="A363" s="4">
        <v>13.0</v>
      </c>
      <c r="B363" s="4">
        <f>VLOOKUP(Transactions!C361, Inventory_data!$A$1:$G$86, 5, True)</f>
        <v>0.38</v>
      </c>
    </row>
    <row r="364">
      <c r="A364" s="4">
        <v>32.0</v>
      </c>
      <c r="B364" s="4">
        <f>VLOOKUP(Transactions!C362, Inventory_data!$A$1:$G$86, 5, True)</f>
        <v>2.99</v>
      </c>
    </row>
    <row r="365">
      <c r="A365" s="4">
        <v>40.0</v>
      </c>
      <c r="B365" s="4">
        <f>VLOOKUP(Transactions!C363, Inventory_data!$A$1:$G$86, 5, True)</f>
        <v>1.17</v>
      </c>
    </row>
    <row r="366">
      <c r="A366" s="4">
        <v>55.0</v>
      </c>
      <c r="B366" s="4">
        <f>VLOOKUP(Transactions!C364, Inventory_data!$A$1:$G$86, 5, True)</f>
        <v>1.1</v>
      </c>
    </row>
    <row r="367">
      <c r="A367" s="4">
        <v>61.0</v>
      </c>
      <c r="B367" s="4">
        <f>VLOOKUP(Transactions!C365, Inventory_data!$A$1:$G$86, 5, True)</f>
        <v>0.55</v>
      </c>
    </row>
    <row r="368">
      <c r="A368" s="4">
        <v>3.0</v>
      </c>
      <c r="B368" s="4">
        <f>VLOOKUP(Transactions!C366, Inventory_data!$A$1:$G$86, 5, True)</f>
        <v>1.02</v>
      </c>
    </row>
    <row r="369">
      <c r="A369" s="4">
        <v>6.0</v>
      </c>
      <c r="B369" s="4">
        <f>VLOOKUP(Transactions!C367, Inventory_data!$A$1:$G$86, 5, True)</f>
        <v>1.69</v>
      </c>
    </row>
    <row r="370">
      <c r="A370" s="4">
        <v>62.0</v>
      </c>
      <c r="B370" s="4">
        <f>VLOOKUP(Transactions!C368, Inventory_data!$A$1:$G$86, 5, True)</f>
        <v>1.17</v>
      </c>
    </row>
    <row r="371">
      <c r="A371" s="4">
        <v>26.0</v>
      </c>
      <c r="B371" s="4">
        <f>VLOOKUP(Transactions!C369, Inventory_data!$A$1:$G$86, 5, True)</f>
        <v>0.25</v>
      </c>
    </row>
    <row r="372">
      <c r="A372" s="4">
        <v>51.0</v>
      </c>
      <c r="B372" s="4">
        <f>VLOOKUP(Transactions!C370, Inventory_data!$A$1:$G$86, 5, True)</f>
        <v>0.89</v>
      </c>
    </row>
    <row r="373">
      <c r="A373" s="4">
        <v>60.0</v>
      </c>
      <c r="B373" s="4">
        <f>VLOOKUP(Transactions!C371, Inventory_data!$A$1:$G$86, 5, True)</f>
        <v>2.06</v>
      </c>
    </row>
    <row r="374">
      <c r="A374" s="4">
        <v>2.0</v>
      </c>
      <c r="B374" s="4">
        <f>VLOOKUP(Transactions!C372, Inventory_data!$A$1:$G$86, 5, True)</f>
        <v>1.44</v>
      </c>
    </row>
    <row r="375">
      <c r="A375" s="4">
        <v>31.0</v>
      </c>
      <c r="B375" s="4">
        <f>VLOOKUP(Transactions!C373, Inventory_data!$A$1:$G$86, 5, True)</f>
        <v>0.61</v>
      </c>
    </row>
    <row r="376">
      <c r="A376" s="4">
        <v>58.0</v>
      </c>
      <c r="B376" s="4">
        <f>VLOOKUP(Transactions!C374, Inventory_data!$A$1:$G$86, 5, True)</f>
        <v>0.96</v>
      </c>
    </row>
    <row r="377">
      <c r="A377" s="4">
        <v>28.0</v>
      </c>
      <c r="B377" s="4">
        <f>VLOOKUP(Transactions!C375, Inventory_data!$A$1:$G$86, 5, True)</f>
        <v>0.69</v>
      </c>
    </row>
    <row r="378">
      <c r="A378" s="4">
        <v>57.0</v>
      </c>
      <c r="B378" s="4">
        <f>VLOOKUP(Transactions!C376, Inventory_data!$A$1:$G$86, 5, True)</f>
        <v>3.6</v>
      </c>
    </row>
    <row r="379">
      <c r="A379" s="4">
        <v>63.0</v>
      </c>
      <c r="B379" s="4">
        <f>VLOOKUP(Transactions!C377, Inventory_data!$A$1:$G$86, 5, True)</f>
        <v>3.57</v>
      </c>
    </row>
    <row r="380">
      <c r="A380" s="4">
        <v>70.0</v>
      </c>
      <c r="B380" s="4">
        <f>VLOOKUP(Transactions!C378, Inventory_data!$A$1:$G$86, 5, True)</f>
        <v>0.19</v>
      </c>
    </row>
    <row r="381">
      <c r="A381" s="4">
        <v>79.0</v>
      </c>
      <c r="B381" s="4">
        <f>VLOOKUP(Transactions!C379, Inventory_data!$A$1:$G$86, 5, True)</f>
        <v>3.3</v>
      </c>
    </row>
    <row r="382">
      <c r="A382" s="4">
        <v>39.0</v>
      </c>
      <c r="B382" s="4">
        <f>VLOOKUP(Transactions!C380, Inventory_data!$A$1:$G$86, 5, True)</f>
        <v>0.59</v>
      </c>
    </row>
    <row r="383">
      <c r="A383" s="4">
        <v>65.0</v>
      </c>
      <c r="B383" s="4">
        <f>VLOOKUP(Transactions!C381, Inventory_data!$A$1:$G$86, 5, True)</f>
        <v>1.32</v>
      </c>
    </row>
    <row r="384">
      <c r="A384" s="4">
        <v>37.0</v>
      </c>
      <c r="B384" s="4">
        <f>VLOOKUP(Transactions!C382, Inventory_data!$A$1:$G$86, 5, True)</f>
        <v>3.52</v>
      </c>
    </row>
    <row r="385">
      <c r="A385" s="4">
        <v>44.0</v>
      </c>
      <c r="B385" s="4">
        <f>VLOOKUP(Transactions!C383, Inventory_data!$A$1:$G$86, 5, True)</f>
        <v>4.99</v>
      </c>
    </row>
    <row r="386">
      <c r="A386" s="4">
        <v>2.0</v>
      </c>
      <c r="B386" s="4">
        <f>VLOOKUP(Transactions!C384, Inventory_data!$A$1:$G$86, 5, True)</f>
        <v>1.44</v>
      </c>
    </row>
    <row r="387">
      <c r="A387" s="4">
        <v>74.0</v>
      </c>
      <c r="B387" s="4">
        <f>VLOOKUP(Transactions!C385, Inventory_data!$A$1:$G$86, 5, True)</f>
        <v>0.75</v>
      </c>
    </row>
    <row r="388">
      <c r="A388" s="4">
        <v>9.0</v>
      </c>
      <c r="B388" s="4">
        <f>VLOOKUP(Transactions!C386, Inventory_data!$A$1:$G$86, 5, True)</f>
        <v>0.96</v>
      </c>
    </row>
    <row r="389">
      <c r="A389" s="4">
        <v>78.0</v>
      </c>
      <c r="B389" s="4">
        <f>VLOOKUP(Transactions!C387, Inventory_data!$A$1:$G$86, 5, True)</f>
        <v>1.44</v>
      </c>
    </row>
    <row r="390">
      <c r="A390" s="4">
        <v>43.0</v>
      </c>
      <c r="B390" s="4">
        <f>VLOOKUP(Transactions!C388, Inventory_data!$A$1:$G$86, 5, True)</f>
        <v>0.99</v>
      </c>
    </row>
    <row r="391">
      <c r="A391" s="4">
        <v>18.0</v>
      </c>
      <c r="B391" s="4">
        <f>VLOOKUP(Transactions!C389, Inventory_data!$A$1:$G$86, 5, True)</f>
        <v>0.67</v>
      </c>
    </row>
    <row r="392">
      <c r="A392" s="4">
        <v>46.0</v>
      </c>
      <c r="B392" s="4">
        <f>VLOOKUP(Transactions!C390, Inventory_data!$A$1:$G$86, 5, True)</f>
        <v>16.99</v>
      </c>
    </row>
    <row r="393">
      <c r="A393" s="4">
        <v>82.0</v>
      </c>
      <c r="B393" s="4">
        <f>VLOOKUP(Transactions!C391, Inventory_data!$A$1:$G$86, 5, True)</f>
        <v>3.08</v>
      </c>
    </row>
    <row r="394">
      <c r="A394" s="4">
        <v>42.0</v>
      </c>
      <c r="B394" s="4">
        <f>VLOOKUP(Transactions!C392, Inventory_data!$A$1:$G$86, 5, True)</f>
        <v>5.99</v>
      </c>
    </row>
    <row r="395">
      <c r="A395" s="4">
        <v>59.0</v>
      </c>
      <c r="B395" s="4">
        <f>VLOOKUP(Transactions!C393, Inventory_data!$A$1:$G$86, 5, True)</f>
        <v>4.29</v>
      </c>
    </row>
    <row r="396">
      <c r="A396" s="4">
        <v>71.0</v>
      </c>
      <c r="B396" s="4">
        <f>VLOOKUP(Transactions!C394, Inventory_data!$A$1:$G$86, 5, True)</f>
        <v>0.24</v>
      </c>
    </row>
    <row r="397">
      <c r="A397" s="4">
        <v>56.0</v>
      </c>
      <c r="B397" s="4">
        <f>VLOOKUP(Transactions!C395, Inventory_data!$A$1:$G$86, 5, True)</f>
        <v>0.86</v>
      </c>
    </row>
    <row r="398">
      <c r="A398" s="4">
        <v>49.0</v>
      </c>
      <c r="B398" s="4">
        <f>VLOOKUP(Transactions!C396, Inventory_data!$A$1:$G$86, 5, True)</f>
        <v>0.67</v>
      </c>
    </row>
    <row r="399">
      <c r="A399" s="4">
        <v>30.0</v>
      </c>
      <c r="B399" s="4">
        <f>VLOOKUP(Transactions!C397, Inventory_data!$A$1:$G$86, 5, True)</f>
        <v>0.91</v>
      </c>
    </row>
    <row r="400">
      <c r="A400" s="4">
        <v>15.0</v>
      </c>
      <c r="B400" s="4">
        <f>VLOOKUP(Transactions!C398, Inventory_data!$A$1:$G$86, 5, True)</f>
        <v>0.43</v>
      </c>
    </row>
    <row r="401">
      <c r="A401" s="4">
        <v>48.0</v>
      </c>
      <c r="B401" s="4">
        <f>VLOOKUP(Transactions!C399, Inventory_data!$A$1:$G$86, 5, True)</f>
        <v>0.89</v>
      </c>
    </row>
    <row r="402">
      <c r="A402" s="4">
        <v>79.0</v>
      </c>
      <c r="B402" s="4">
        <f>VLOOKUP(Transactions!C400, Inventory_data!$A$1:$G$86, 5, True)</f>
        <v>3.3</v>
      </c>
    </row>
    <row r="403">
      <c r="A403" s="4">
        <v>71.0</v>
      </c>
      <c r="B403" s="4">
        <f>VLOOKUP(Transactions!C401, Inventory_data!$A$1:$G$86, 5, True)</f>
        <v>0.24</v>
      </c>
    </row>
    <row r="404">
      <c r="A404" s="4">
        <v>53.0</v>
      </c>
      <c r="B404" s="4">
        <f>VLOOKUP(Transactions!C402, Inventory_data!$A$1:$G$86, 5, True)</f>
        <v>1.69</v>
      </c>
    </row>
    <row r="405">
      <c r="A405" s="4">
        <v>63.0</v>
      </c>
      <c r="B405" s="4">
        <f>VLOOKUP(Transactions!C403, Inventory_data!$A$1:$G$86, 5, True)</f>
        <v>3.57</v>
      </c>
    </row>
    <row r="406">
      <c r="A406" s="4">
        <v>77.0</v>
      </c>
      <c r="B406" s="4">
        <f>VLOOKUP(Transactions!C404, Inventory_data!$A$1:$G$86, 5, True)</f>
        <v>2.67</v>
      </c>
    </row>
    <row r="407">
      <c r="A407" s="4">
        <v>66.0</v>
      </c>
      <c r="B407" s="4">
        <f>VLOOKUP(Transactions!C405, Inventory_data!$A$1:$G$86, 5, True)</f>
        <v>1.12</v>
      </c>
    </row>
    <row r="408">
      <c r="A408" s="4">
        <v>44.0</v>
      </c>
      <c r="B408" s="4">
        <f>VLOOKUP(Transactions!C406, Inventory_data!$A$1:$G$86, 5, True)</f>
        <v>4.99</v>
      </c>
    </row>
    <row r="409">
      <c r="A409" s="4">
        <v>43.0</v>
      </c>
      <c r="B409" s="4">
        <f>VLOOKUP(Transactions!C407, Inventory_data!$A$1:$G$86, 5, True)</f>
        <v>0.99</v>
      </c>
    </row>
    <row r="410">
      <c r="A410" s="4">
        <v>39.0</v>
      </c>
      <c r="B410" s="4">
        <f>VLOOKUP(Transactions!C408, Inventory_data!$A$1:$G$86, 5, True)</f>
        <v>0.59</v>
      </c>
    </row>
    <row r="411">
      <c r="A411" s="4">
        <v>51.0</v>
      </c>
      <c r="B411" s="4">
        <f>VLOOKUP(Transactions!C409, Inventory_data!$A$1:$G$86, 5, True)</f>
        <v>0.89</v>
      </c>
    </row>
    <row r="412">
      <c r="A412" s="4">
        <v>22.0</v>
      </c>
      <c r="B412" s="4">
        <f>VLOOKUP(Transactions!C410, Inventory_data!$A$1:$G$86, 5, True)</f>
        <v>19.59</v>
      </c>
    </row>
    <row r="413">
      <c r="A413" s="4">
        <v>36.0</v>
      </c>
      <c r="B413" s="4">
        <f>VLOOKUP(Transactions!C411, Inventory_data!$A$1:$G$86, 5, True)</f>
        <v>1.12</v>
      </c>
    </row>
    <row r="414">
      <c r="A414" s="4">
        <v>26.0</v>
      </c>
      <c r="B414" s="4">
        <f>VLOOKUP(Transactions!C412, Inventory_data!$A$1:$G$86, 5, True)</f>
        <v>0.25</v>
      </c>
    </row>
    <row r="415">
      <c r="A415" s="4">
        <v>36.0</v>
      </c>
      <c r="B415" s="4">
        <f>VLOOKUP(Transactions!C413, Inventory_data!$A$1:$G$86, 5, True)</f>
        <v>1.12</v>
      </c>
    </row>
    <row r="416">
      <c r="A416" s="4">
        <v>29.0</v>
      </c>
      <c r="B416" s="4">
        <f>VLOOKUP(Transactions!C414, Inventory_data!$A$1:$G$86, 5, True)</f>
        <v>0.63</v>
      </c>
    </row>
    <row r="417">
      <c r="A417" s="4">
        <v>6.0</v>
      </c>
      <c r="B417" s="4">
        <f>VLOOKUP(Transactions!C415, Inventory_data!$A$1:$G$86, 5, True)</f>
        <v>1.69</v>
      </c>
    </row>
    <row r="418">
      <c r="A418" s="4">
        <v>16.0</v>
      </c>
      <c r="B418" s="4">
        <f>VLOOKUP(Transactions!C416, Inventory_data!$A$1:$G$86, 5, True)</f>
        <v>2.43</v>
      </c>
    </row>
    <row r="419">
      <c r="A419" s="4">
        <v>6.0</v>
      </c>
      <c r="B419" s="4">
        <f>VLOOKUP(Transactions!C417, Inventory_data!$A$1:$G$86, 5, True)</f>
        <v>1.69</v>
      </c>
    </row>
    <row r="420">
      <c r="A420" s="4">
        <v>11.0</v>
      </c>
      <c r="B420" s="4">
        <f>VLOOKUP(Transactions!C418, Inventory_data!$A$1:$G$86, 5, True)</f>
        <v>4.89</v>
      </c>
    </row>
    <row r="421">
      <c r="A421" s="4">
        <v>22.0</v>
      </c>
      <c r="B421" s="4">
        <f>VLOOKUP(Transactions!C419, Inventory_data!$A$1:$G$86, 5, True)</f>
        <v>19.59</v>
      </c>
    </row>
    <row r="422">
      <c r="A422" s="4">
        <v>74.0</v>
      </c>
      <c r="B422" s="4">
        <f>VLOOKUP(Transactions!C420, Inventory_data!$A$1:$G$86, 5, True)</f>
        <v>0.75</v>
      </c>
    </row>
    <row r="423">
      <c r="A423" s="4">
        <v>54.0</v>
      </c>
      <c r="B423" s="4">
        <f>VLOOKUP(Transactions!C421, Inventory_data!$A$1:$G$86, 5, True)</f>
        <v>1.23</v>
      </c>
    </row>
    <row r="424">
      <c r="A424" s="4">
        <v>16.0</v>
      </c>
      <c r="B424" s="4">
        <f>VLOOKUP(Transactions!C422, Inventory_data!$A$1:$G$86, 5, True)</f>
        <v>2.43</v>
      </c>
    </row>
    <row r="425">
      <c r="A425" s="4">
        <v>23.0</v>
      </c>
      <c r="B425" s="4">
        <f>VLOOKUP(Transactions!C423, Inventory_data!$A$1:$G$86, 5, True)</f>
        <v>0.91</v>
      </c>
    </row>
    <row r="426">
      <c r="A426" s="4">
        <v>4.0</v>
      </c>
      <c r="B426" s="4">
        <f>VLOOKUP(Transactions!C424, Inventory_data!$A$1:$G$86, 5, True)</f>
        <v>1.19</v>
      </c>
    </row>
    <row r="427">
      <c r="A427" s="4">
        <v>69.0</v>
      </c>
      <c r="B427" s="4">
        <f>VLOOKUP(Transactions!C425, Inventory_data!$A$1:$G$86, 5, True)</f>
        <v>0.27</v>
      </c>
    </row>
    <row r="428">
      <c r="A428" s="4">
        <v>12.0</v>
      </c>
      <c r="B428" s="4">
        <f>VLOOKUP(Transactions!C426, Inventory_data!$A$1:$G$86, 5, True)</f>
        <v>1.15</v>
      </c>
    </row>
    <row r="429">
      <c r="A429" s="4">
        <v>27.0</v>
      </c>
      <c r="B429" s="4">
        <f>VLOOKUP(Transactions!C427, Inventory_data!$A$1:$G$86, 5, True)</f>
        <v>6</v>
      </c>
    </row>
    <row r="430">
      <c r="A430" s="4">
        <v>24.0</v>
      </c>
      <c r="B430" s="4">
        <f>VLOOKUP(Transactions!C428, Inventory_data!$A$1:$G$86, 5, True)</f>
        <v>0.56</v>
      </c>
    </row>
    <row r="431">
      <c r="A431" s="4">
        <v>33.0</v>
      </c>
      <c r="B431" s="4">
        <f>VLOOKUP(Transactions!C429, Inventory_data!$A$1:$G$86, 5, True)</f>
        <v>0.97</v>
      </c>
    </row>
    <row r="432">
      <c r="A432" s="4">
        <v>77.0</v>
      </c>
      <c r="B432" s="4">
        <f>VLOOKUP(Transactions!C430, Inventory_data!$A$1:$G$86, 5, True)</f>
        <v>2.67</v>
      </c>
    </row>
    <row r="433">
      <c r="A433" s="4">
        <v>40.0</v>
      </c>
      <c r="B433" s="4">
        <f>VLOOKUP(Transactions!C431, Inventory_data!$A$1:$G$86, 5, True)</f>
        <v>1.17</v>
      </c>
    </row>
    <row r="434">
      <c r="A434" s="4">
        <v>78.0</v>
      </c>
      <c r="B434" s="4">
        <f>VLOOKUP(Transactions!C432, Inventory_data!$A$1:$G$86, 5, True)</f>
        <v>1.44</v>
      </c>
    </row>
    <row r="435">
      <c r="A435" s="4">
        <v>32.0</v>
      </c>
      <c r="B435" s="4">
        <f>VLOOKUP(Transactions!C433, Inventory_data!$A$1:$G$86, 5, True)</f>
        <v>2.99</v>
      </c>
    </row>
    <row r="436">
      <c r="A436" s="4">
        <v>22.0</v>
      </c>
      <c r="B436" s="4">
        <f>VLOOKUP(Transactions!C434, Inventory_data!$A$1:$G$86, 5, True)</f>
        <v>19.59</v>
      </c>
    </row>
    <row r="437">
      <c r="A437" s="4">
        <v>73.0</v>
      </c>
      <c r="B437" s="4">
        <f>VLOOKUP(Transactions!C435, Inventory_data!$A$1:$G$86, 5, True)</f>
        <v>0.69</v>
      </c>
    </row>
    <row r="438">
      <c r="A438" s="4">
        <v>62.0</v>
      </c>
      <c r="B438" s="4">
        <f>VLOOKUP(Transactions!C436, Inventory_data!$A$1:$G$86, 5, True)</f>
        <v>1.17</v>
      </c>
    </row>
    <row r="439">
      <c r="A439" s="4">
        <v>61.0</v>
      </c>
      <c r="B439" s="4">
        <f>VLOOKUP(Transactions!C437, Inventory_data!$A$1:$G$86, 5, True)</f>
        <v>0.55</v>
      </c>
    </row>
    <row r="440">
      <c r="A440" s="4">
        <v>54.0</v>
      </c>
      <c r="B440" s="4">
        <f>VLOOKUP(Transactions!C438, Inventory_data!$A$1:$G$86, 5, True)</f>
        <v>1.23</v>
      </c>
    </row>
    <row r="441">
      <c r="A441" s="4">
        <v>45.0</v>
      </c>
      <c r="B441" s="4">
        <f>VLOOKUP(Transactions!C439, Inventory_data!$A$1:$G$86, 5, True)</f>
        <v>1.29</v>
      </c>
    </row>
    <row r="442">
      <c r="A442" s="4">
        <v>31.0</v>
      </c>
      <c r="B442" s="4">
        <f>VLOOKUP(Transactions!C440, Inventory_data!$A$1:$G$86, 5, True)</f>
        <v>0.61</v>
      </c>
    </row>
    <row r="443">
      <c r="A443" s="4">
        <v>65.0</v>
      </c>
      <c r="B443" s="4">
        <f>VLOOKUP(Transactions!C441, Inventory_data!$A$1:$G$86, 5, True)</f>
        <v>1.32</v>
      </c>
    </row>
    <row r="444">
      <c r="A444" s="4">
        <v>32.0</v>
      </c>
      <c r="B444" s="4">
        <f>VLOOKUP(Transactions!C442, Inventory_data!$A$1:$G$86, 5, True)</f>
        <v>2.99</v>
      </c>
    </row>
    <row r="445">
      <c r="A445" s="4">
        <v>34.0</v>
      </c>
      <c r="B445" s="4">
        <f>VLOOKUP(Transactions!C443, Inventory_data!$A$1:$G$86, 5, True)</f>
        <v>0.95</v>
      </c>
    </row>
    <row r="446">
      <c r="A446" s="4">
        <v>59.0</v>
      </c>
      <c r="B446" s="4">
        <f>VLOOKUP(Transactions!C444, Inventory_data!$A$1:$G$86, 5, True)</f>
        <v>4.29</v>
      </c>
    </row>
    <row r="447">
      <c r="A447" s="4">
        <v>66.0</v>
      </c>
      <c r="B447" s="4">
        <f>VLOOKUP(Transactions!C445, Inventory_data!$A$1:$G$86, 5, True)</f>
        <v>1.12</v>
      </c>
    </row>
    <row r="448">
      <c r="A448" s="4">
        <v>34.0</v>
      </c>
      <c r="B448" s="4">
        <f>VLOOKUP(Transactions!C446, Inventory_data!$A$1:$G$86, 5, True)</f>
        <v>0.95</v>
      </c>
    </row>
    <row r="449">
      <c r="A449" s="4">
        <v>60.0</v>
      </c>
      <c r="B449" s="4">
        <f>VLOOKUP(Transactions!C447, Inventory_data!$A$1:$G$86, 5, True)</f>
        <v>2.06</v>
      </c>
    </row>
    <row r="450">
      <c r="A450" s="4">
        <v>46.0</v>
      </c>
      <c r="B450" s="4">
        <f>VLOOKUP(Transactions!C448, Inventory_data!$A$1:$G$86, 5, True)</f>
        <v>16.99</v>
      </c>
    </row>
    <row r="451">
      <c r="A451" s="4">
        <v>9.0</v>
      </c>
      <c r="B451" s="4">
        <f>VLOOKUP(Transactions!C449, Inventory_data!$A$1:$G$86, 5, True)</f>
        <v>0.96</v>
      </c>
    </row>
    <row r="452">
      <c r="A452" s="4">
        <v>24.0</v>
      </c>
      <c r="B452" s="4">
        <f>VLOOKUP(Transactions!C450, Inventory_data!$A$1:$G$86, 5, True)</f>
        <v>0.56</v>
      </c>
    </row>
    <row r="453">
      <c r="A453" s="4">
        <v>81.0</v>
      </c>
      <c r="B453" s="4">
        <f>VLOOKUP(Transactions!C451, Inventory_data!$A$1:$G$86, 5, True)</f>
        <v>2.99</v>
      </c>
    </row>
    <row r="454">
      <c r="A454" s="4">
        <v>80.0</v>
      </c>
      <c r="B454" s="4">
        <f>VLOOKUP(Transactions!C452, Inventory_data!$A$1:$G$86, 5, True)</f>
        <v>3.49</v>
      </c>
    </row>
    <row r="455">
      <c r="A455" s="4">
        <v>43.0</v>
      </c>
      <c r="B455" s="4">
        <f>VLOOKUP(Transactions!C453, Inventory_data!$A$1:$G$86, 5, True)</f>
        <v>0.99</v>
      </c>
    </row>
    <row r="456">
      <c r="A456" s="4">
        <v>67.0</v>
      </c>
      <c r="B456" s="4">
        <f>VLOOKUP(Transactions!C454, Inventory_data!$A$1:$G$86, 5, True)</f>
        <v>1.74</v>
      </c>
    </row>
    <row r="457">
      <c r="A457" s="4">
        <v>60.0</v>
      </c>
      <c r="B457" s="4">
        <f>VLOOKUP(Transactions!C455, Inventory_data!$A$1:$G$86, 5, True)</f>
        <v>2.06</v>
      </c>
    </row>
    <row r="458">
      <c r="A458" s="4">
        <v>14.0</v>
      </c>
      <c r="B458" s="4">
        <f>VLOOKUP(Transactions!C456, Inventory_data!$A$1:$G$86, 5, True)</f>
        <v>0.53</v>
      </c>
    </row>
    <row r="459">
      <c r="A459" s="4">
        <v>27.0</v>
      </c>
      <c r="B459" s="4">
        <f>VLOOKUP(Transactions!C457, Inventory_data!$A$1:$G$86, 5, True)</f>
        <v>6</v>
      </c>
    </row>
    <row r="460">
      <c r="A460" s="4">
        <v>41.0</v>
      </c>
      <c r="B460" s="4">
        <f>VLOOKUP(Transactions!C458, Inventory_data!$A$1:$G$86, 5, True)</f>
        <v>1.09</v>
      </c>
    </row>
    <row r="461">
      <c r="A461" s="4">
        <v>22.0</v>
      </c>
      <c r="B461" s="4">
        <f>VLOOKUP(Transactions!C459, Inventory_data!$A$1:$G$86, 5, True)</f>
        <v>19.59</v>
      </c>
    </row>
    <row r="462">
      <c r="A462" s="4">
        <v>51.0</v>
      </c>
      <c r="B462" s="4">
        <f>VLOOKUP(Transactions!C460, Inventory_data!$A$1:$G$86, 5, True)</f>
        <v>0.89</v>
      </c>
    </row>
    <row r="463">
      <c r="A463" s="4">
        <v>29.0</v>
      </c>
      <c r="B463" s="4">
        <f>VLOOKUP(Transactions!C461, Inventory_data!$A$1:$G$86, 5, True)</f>
        <v>0.63</v>
      </c>
    </row>
    <row r="464">
      <c r="A464" s="4">
        <v>67.0</v>
      </c>
      <c r="B464" s="4">
        <f>VLOOKUP(Transactions!C462, Inventory_data!$A$1:$G$86, 5, True)</f>
        <v>1.74</v>
      </c>
    </row>
    <row r="465">
      <c r="A465" s="4">
        <v>58.0</v>
      </c>
      <c r="B465" s="4">
        <f>VLOOKUP(Transactions!C463, Inventory_data!$A$1:$G$86, 5, True)</f>
        <v>0.96</v>
      </c>
    </row>
    <row r="466">
      <c r="A466" s="4">
        <v>70.0</v>
      </c>
      <c r="B466" s="4">
        <f>VLOOKUP(Transactions!C464, Inventory_data!$A$1:$G$86, 5, True)</f>
        <v>0.19</v>
      </c>
    </row>
    <row r="467">
      <c r="A467" s="4">
        <v>41.0</v>
      </c>
      <c r="B467" s="4">
        <f>VLOOKUP(Transactions!C465, Inventory_data!$A$1:$G$86, 5, True)</f>
        <v>1.09</v>
      </c>
    </row>
    <row r="468">
      <c r="A468" s="4">
        <v>84.0</v>
      </c>
      <c r="B468" s="4">
        <f>VLOOKUP(Transactions!C466, Inventory_data!$A$1:$G$86, 5, True)</f>
        <v>2.59</v>
      </c>
    </row>
    <row r="469">
      <c r="A469" s="4">
        <v>14.0</v>
      </c>
      <c r="B469" s="4">
        <f>VLOOKUP(Transactions!C467, Inventory_data!$A$1:$G$86, 5, True)</f>
        <v>0.53</v>
      </c>
    </row>
    <row r="470">
      <c r="A470" s="4">
        <v>26.0</v>
      </c>
      <c r="B470" s="4">
        <f>VLOOKUP(Transactions!C468, Inventory_data!$A$1:$G$86, 5, True)</f>
        <v>0.25</v>
      </c>
    </row>
    <row r="471">
      <c r="A471" s="4">
        <v>36.0</v>
      </c>
      <c r="B471" s="4">
        <f>VLOOKUP(Transactions!C469, Inventory_data!$A$1:$G$86, 5, True)</f>
        <v>1.12</v>
      </c>
    </row>
    <row r="472">
      <c r="A472" s="4">
        <v>11.0</v>
      </c>
      <c r="B472" s="4">
        <f>VLOOKUP(Transactions!C470, Inventory_data!$A$1:$G$86, 5, True)</f>
        <v>4.89</v>
      </c>
    </row>
    <row r="473">
      <c r="A473" s="4">
        <v>83.0</v>
      </c>
      <c r="B473" s="4">
        <f>VLOOKUP(Transactions!C471, Inventory_data!$A$1:$G$86, 5, True)</f>
        <v>0.39</v>
      </c>
    </row>
    <row r="474">
      <c r="A474" s="4">
        <v>82.0</v>
      </c>
      <c r="B474" s="4">
        <f>VLOOKUP(Transactions!C472, Inventory_data!$A$1:$G$86, 5, True)</f>
        <v>3.08</v>
      </c>
    </row>
    <row r="475">
      <c r="A475" s="4">
        <v>45.0</v>
      </c>
      <c r="B475" s="4">
        <f>VLOOKUP(Transactions!C473, Inventory_data!$A$1:$G$86, 5, True)</f>
        <v>1.29</v>
      </c>
    </row>
    <row r="476">
      <c r="A476" s="4">
        <v>68.0</v>
      </c>
      <c r="B476" s="4">
        <f>VLOOKUP(Transactions!C474, Inventory_data!$A$1:$G$86, 5, True)</f>
        <v>0.67</v>
      </c>
    </row>
    <row r="477">
      <c r="A477" s="4">
        <v>23.0</v>
      </c>
      <c r="B477" s="4">
        <f>VLOOKUP(Transactions!C475, Inventory_data!$A$1:$G$86, 5, True)</f>
        <v>0.91</v>
      </c>
    </row>
    <row r="478">
      <c r="A478" s="4">
        <v>60.0</v>
      </c>
      <c r="B478" s="4">
        <f>VLOOKUP(Transactions!C476, Inventory_data!$A$1:$G$86, 5, True)</f>
        <v>2.06</v>
      </c>
    </row>
    <row r="479">
      <c r="A479" s="4">
        <v>70.0</v>
      </c>
      <c r="B479" s="4">
        <f>VLOOKUP(Transactions!C477, Inventory_data!$A$1:$G$86, 5, True)</f>
        <v>0.19</v>
      </c>
    </row>
    <row r="480">
      <c r="A480" s="4">
        <v>4.0</v>
      </c>
      <c r="B480" s="4">
        <f>VLOOKUP(Transactions!C478, Inventory_data!$A$1:$G$86, 5, True)</f>
        <v>1.19</v>
      </c>
    </row>
    <row r="481">
      <c r="A481" s="4">
        <v>22.0</v>
      </c>
      <c r="B481" s="4">
        <f>VLOOKUP(Transactions!C479, Inventory_data!$A$1:$G$86, 5, True)</f>
        <v>19.59</v>
      </c>
    </row>
    <row r="482">
      <c r="A482" s="4">
        <v>13.0</v>
      </c>
      <c r="B482" s="4">
        <f>VLOOKUP(Transactions!C480, Inventory_data!$A$1:$G$86, 5, True)</f>
        <v>0.38</v>
      </c>
    </row>
    <row r="483">
      <c r="A483" s="4">
        <v>40.0</v>
      </c>
      <c r="B483" s="4">
        <f>VLOOKUP(Transactions!C481, Inventory_data!$A$1:$G$86, 5, True)</f>
        <v>1.17</v>
      </c>
    </row>
    <row r="484">
      <c r="A484" s="4">
        <v>60.0</v>
      </c>
      <c r="B484" s="4">
        <f>VLOOKUP(Transactions!C482, Inventory_data!$A$1:$G$86, 5, True)</f>
        <v>2.06</v>
      </c>
    </row>
    <row r="485">
      <c r="A485" s="4">
        <v>41.0</v>
      </c>
      <c r="B485" s="4">
        <f>VLOOKUP(Transactions!C483, Inventory_data!$A$1:$G$86, 5, True)</f>
        <v>1.09</v>
      </c>
    </row>
    <row r="486">
      <c r="A486" s="4">
        <v>33.0</v>
      </c>
      <c r="B486" s="4">
        <f>VLOOKUP(Transactions!C484, Inventory_data!$A$1:$G$86, 5, True)</f>
        <v>0.97</v>
      </c>
    </row>
    <row r="487">
      <c r="A487" s="4">
        <v>56.0</v>
      </c>
      <c r="B487" s="4">
        <f>VLOOKUP(Transactions!C485, Inventory_data!$A$1:$G$86, 5, True)</f>
        <v>0.86</v>
      </c>
    </row>
    <row r="488">
      <c r="A488" s="4">
        <v>72.0</v>
      </c>
      <c r="B488" s="4">
        <f>VLOOKUP(Transactions!C486, Inventory_data!$A$1:$G$86, 5, True)</f>
        <v>0.27</v>
      </c>
    </row>
    <row r="489">
      <c r="A489" s="4">
        <v>32.0</v>
      </c>
      <c r="B489" s="4">
        <f>VLOOKUP(Transactions!C487, Inventory_data!$A$1:$G$86, 5, True)</f>
        <v>2.99</v>
      </c>
    </row>
    <row r="490">
      <c r="A490" s="4">
        <v>27.0</v>
      </c>
      <c r="B490" s="4">
        <f>VLOOKUP(Transactions!C488, Inventory_data!$A$1:$G$86, 5, True)</f>
        <v>6</v>
      </c>
    </row>
    <row r="491">
      <c r="A491" s="4">
        <v>40.0</v>
      </c>
      <c r="B491" s="4">
        <f>VLOOKUP(Transactions!C489, Inventory_data!$A$1:$G$86, 5, True)</f>
        <v>1.17</v>
      </c>
    </row>
    <row r="492">
      <c r="A492" s="4">
        <v>36.0</v>
      </c>
      <c r="B492" s="4">
        <f>VLOOKUP(Transactions!C490, Inventory_data!$A$1:$G$86, 5, True)</f>
        <v>1.12</v>
      </c>
    </row>
    <row r="493">
      <c r="A493" s="4">
        <v>12.0</v>
      </c>
      <c r="B493" s="4">
        <f>VLOOKUP(Transactions!C491, Inventory_data!$A$1:$G$86, 5, True)</f>
        <v>1.15</v>
      </c>
    </row>
    <row r="494">
      <c r="A494" s="4">
        <v>52.0</v>
      </c>
      <c r="B494" s="4">
        <f>VLOOKUP(Transactions!C492, Inventory_data!$A$1:$G$86, 5, True)</f>
        <v>1.79</v>
      </c>
    </row>
    <row r="495">
      <c r="A495" s="4">
        <v>52.0</v>
      </c>
      <c r="B495" s="4">
        <f>VLOOKUP(Transactions!C493, Inventory_data!$A$1:$G$86, 5, True)</f>
        <v>1.79</v>
      </c>
    </row>
    <row r="496">
      <c r="A496" s="4">
        <v>33.0</v>
      </c>
      <c r="B496" s="4">
        <f>VLOOKUP(Transactions!C494, Inventory_data!$A$1:$G$86, 5, True)</f>
        <v>0.97</v>
      </c>
    </row>
    <row r="497">
      <c r="A497" s="4">
        <v>45.0</v>
      </c>
      <c r="B497" s="4">
        <f>VLOOKUP(Transactions!C495, Inventory_data!$A$1:$G$86, 5, True)</f>
        <v>1.29</v>
      </c>
    </row>
    <row r="498">
      <c r="A498" s="4">
        <v>14.0</v>
      </c>
      <c r="B498" s="4">
        <f>VLOOKUP(Transactions!C496, Inventory_data!$A$1:$G$86, 5, True)</f>
        <v>0.53</v>
      </c>
    </row>
    <row r="499">
      <c r="A499" s="4">
        <v>2.0</v>
      </c>
      <c r="B499" s="4">
        <f>VLOOKUP(Transactions!C497, Inventory_data!$A$1:$G$86, 5, True)</f>
        <v>1.44</v>
      </c>
    </row>
    <row r="500">
      <c r="A500" s="4">
        <v>15.0</v>
      </c>
      <c r="B500" s="4">
        <f>VLOOKUP(Transactions!C498, Inventory_data!$A$1:$G$86, 5, True)</f>
        <v>0.43</v>
      </c>
    </row>
    <row r="501">
      <c r="A501" s="4">
        <v>84.0</v>
      </c>
      <c r="B501" s="4">
        <f>VLOOKUP(Transactions!C499, Inventory_data!$A$1:$G$86, 5, True)</f>
        <v>2.59</v>
      </c>
    </row>
    <row r="502">
      <c r="A502" s="4">
        <v>77.0</v>
      </c>
      <c r="B502" s="4">
        <f>VLOOKUP(Transactions!C500, Inventory_data!$A$1:$G$86, 5, True)</f>
        <v>2.67</v>
      </c>
    </row>
    <row r="503">
      <c r="A503" s="4">
        <v>41.0</v>
      </c>
      <c r="B503" s="4">
        <f>VLOOKUP(Transactions!C501, Inventory_data!$A$1:$G$86, 5, True)</f>
        <v>1.09</v>
      </c>
    </row>
    <row r="504">
      <c r="A504" s="4">
        <v>8.0</v>
      </c>
      <c r="B504" s="4">
        <f>VLOOKUP(Transactions!C502, Inventory_data!$A$1:$G$86, 5, True)</f>
        <v>3.99</v>
      </c>
    </row>
    <row r="505">
      <c r="A505" s="4">
        <v>36.0</v>
      </c>
      <c r="B505" s="4">
        <f>VLOOKUP(Transactions!C503, Inventory_data!$A$1:$G$86, 5, True)</f>
        <v>1.12</v>
      </c>
    </row>
    <row r="506">
      <c r="A506" s="4">
        <v>16.0</v>
      </c>
      <c r="B506" s="4">
        <f>VLOOKUP(Transactions!C504, Inventory_data!$A$1:$G$86, 5, True)</f>
        <v>2.43</v>
      </c>
    </row>
    <row r="507">
      <c r="A507" s="4">
        <v>65.0</v>
      </c>
      <c r="B507" s="4">
        <f>VLOOKUP(Transactions!C505, Inventory_data!$A$1:$G$86, 5, True)</f>
        <v>1.32</v>
      </c>
    </row>
    <row r="508">
      <c r="A508" s="4">
        <v>32.0</v>
      </c>
      <c r="B508" s="4">
        <f>VLOOKUP(Transactions!C506, Inventory_data!$A$1:$G$86, 5, True)</f>
        <v>2.99</v>
      </c>
    </row>
    <row r="509">
      <c r="A509" s="4">
        <v>54.0</v>
      </c>
      <c r="B509" s="4">
        <f>VLOOKUP(Transactions!C507, Inventory_data!$A$1:$G$86, 5, True)</f>
        <v>1.23</v>
      </c>
    </row>
    <row r="510">
      <c r="A510" s="4">
        <v>52.0</v>
      </c>
      <c r="B510" s="4">
        <f>VLOOKUP(Transactions!C508, Inventory_data!$A$1:$G$86, 5, True)</f>
        <v>1.79</v>
      </c>
    </row>
    <row r="511">
      <c r="A511" s="4">
        <v>40.0</v>
      </c>
      <c r="B511" s="4">
        <f>VLOOKUP(Transactions!C509, Inventory_data!$A$1:$G$86, 5, True)</f>
        <v>1.17</v>
      </c>
    </row>
    <row r="512">
      <c r="A512" s="4">
        <v>20.0</v>
      </c>
      <c r="B512" s="4">
        <f>VLOOKUP(Transactions!C510, Inventory_data!$A$1:$G$86, 5, True)</f>
        <v>1.11</v>
      </c>
    </row>
    <row r="513">
      <c r="A513" s="4">
        <v>12.0</v>
      </c>
      <c r="B513" s="4">
        <f>VLOOKUP(Transactions!C511, Inventory_data!$A$1:$G$86, 5, True)</f>
        <v>1.15</v>
      </c>
    </row>
    <row r="514">
      <c r="A514" s="4">
        <v>68.0</v>
      </c>
      <c r="B514" s="4">
        <f>VLOOKUP(Transactions!C512, Inventory_data!$A$1:$G$86, 5, True)</f>
        <v>0.67</v>
      </c>
    </row>
    <row r="515">
      <c r="A515" s="4">
        <v>19.0</v>
      </c>
      <c r="B515" s="4">
        <f>VLOOKUP(Transactions!C513, Inventory_data!$A$1:$G$86, 5, True)</f>
        <v>0.41</v>
      </c>
    </row>
    <row r="516">
      <c r="A516" s="4">
        <v>26.0</v>
      </c>
      <c r="B516" s="4">
        <f>VLOOKUP(Transactions!C514, Inventory_data!$A$1:$G$86, 5, True)</f>
        <v>0.25</v>
      </c>
    </row>
    <row r="517">
      <c r="A517" s="4">
        <v>70.0</v>
      </c>
      <c r="B517" s="4">
        <f>VLOOKUP(Transactions!C515, Inventory_data!$A$1:$G$86, 5, True)</f>
        <v>0.19</v>
      </c>
    </row>
    <row r="518">
      <c r="A518" s="4">
        <v>16.0</v>
      </c>
      <c r="B518" s="4">
        <f>VLOOKUP(Transactions!C516, Inventory_data!$A$1:$G$86, 5, True)</f>
        <v>2.43</v>
      </c>
    </row>
    <row r="519">
      <c r="A519" s="4">
        <v>79.0</v>
      </c>
      <c r="B519" s="4">
        <f>VLOOKUP(Transactions!C517, Inventory_data!$A$1:$G$86, 5, True)</f>
        <v>3.3</v>
      </c>
    </row>
    <row r="520">
      <c r="A520" s="4">
        <v>15.0</v>
      </c>
      <c r="B520" s="4">
        <f>VLOOKUP(Transactions!C518, Inventory_data!$A$1:$G$86, 5, True)</f>
        <v>0.43</v>
      </c>
    </row>
    <row r="521">
      <c r="A521" s="4">
        <v>38.0</v>
      </c>
      <c r="B521" s="4">
        <f>VLOOKUP(Transactions!C519, Inventory_data!$A$1:$G$86, 5, True)</f>
        <v>1.19</v>
      </c>
    </row>
    <row r="522">
      <c r="A522" s="4">
        <v>61.0</v>
      </c>
      <c r="B522" s="4">
        <f>VLOOKUP(Transactions!C520, Inventory_data!$A$1:$G$86, 5, True)</f>
        <v>0.55</v>
      </c>
    </row>
    <row r="523">
      <c r="A523" s="4">
        <v>32.0</v>
      </c>
      <c r="B523" s="4">
        <f>VLOOKUP(Transactions!C521, Inventory_data!$A$1:$G$86, 5, True)</f>
        <v>2.99</v>
      </c>
    </row>
    <row r="524">
      <c r="A524" s="4">
        <v>8.0</v>
      </c>
      <c r="B524" s="4">
        <f>VLOOKUP(Transactions!C522, Inventory_data!$A$1:$G$86, 5, True)</f>
        <v>3.99</v>
      </c>
    </row>
    <row r="525">
      <c r="A525" s="4">
        <v>41.0</v>
      </c>
      <c r="B525" s="4">
        <f>VLOOKUP(Transactions!C523, Inventory_data!$A$1:$G$86, 5, True)</f>
        <v>1.09</v>
      </c>
    </row>
    <row r="526">
      <c r="A526" s="4">
        <v>10.0</v>
      </c>
      <c r="B526" s="4">
        <f>VLOOKUP(Transactions!C524, Inventory_data!$A$1:$G$86, 5, True)</f>
        <v>0.96</v>
      </c>
    </row>
    <row r="527">
      <c r="A527" s="4">
        <v>28.0</v>
      </c>
      <c r="B527" s="4">
        <f>VLOOKUP(Transactions!C525, Inventory_data!$A$1:$G$86, 5, True)</f>
        <v>0.69</v>
      </c>
    </row>
    <row r="528">
      <c r="A528" s="4">
        <v>32.0</v>
      </c>
      <c r="B528" s="4">
        <f>VLOOKUP(Transactions!C526, Inventory_data!$A$1:$G$86, 5, True)</f>
        <v>2.99</v>
      </c>
    </row>
    <row r="529">
      <c r="A529" s="4">
        <v>22.0</v>
      </c>
      <c r="B529" s="4">
        <f>VLOOKUP(Transactions!C527, Inventory_data!$A$1:$G$86, 5, True)</f>
        <v>19.59</v>
      </c>
    </row>
    <row r="530">
      <c r="A530" s="4">
        <v>41.0</v>
      </c>
      <c r="B530" s="4">
        <f>VLOOKUP(Transactions!C528, Inventory_data!$A$1:$G$86, 5, True)</f>
        <v>1.09</v>
      </c>
    </row>
    <row r="531">
      <c r="A531" s="4">
        <v>21.0</v>
      </c>
      <c r="B531" s="4">
        <f>VLOOKUP(Transactions!C529, Inventory_data!$A$1:$G$86, 5, True)</f>
        <v>2.59</v>
      </c>
    </row>
    <row r="532">
      <c r="A532" s="4">
        <v>78.0</v>
      </c>
      <c r="B532" s="4">
        <f>VLOOKUP(Transactions!C530, Inventory_data!$A$1:$G$86, 5, True)</f>
        <v>1.44</v>
      </c>
    </row>
    <row r="533">
      <c r="A533" s="4">
        <v>55.0</v>
      </c>
      <c r="B533" s="4">
        <f>VLOOKUP(Transactions!C531, Inventory_data!$A$1:$G$86, 5, True)</f>
        <v>1.1</v>
      </c>
    </row>
    <row r="534">
      <c r="A534" s="4">
        <v>11.0</v>
      </c>
      <c r="B534" s="4">
        <f>VLOOKUP(Transactions!C532, Inventory_data!$A$1:$G$86, 5, True)</f>
        <v>4.89</v>
      </c>
    </row>
    <row r="535">
      <c r="A535" s="4">
        <v>32.0</v>
      </c>
      <c r="B535" s="4">
        <f>VLOOKUP(Transactions!C533, Inventory_data!$A$1:$G$86, 5, True)</f>
        <v>2.99</v>
      </c>
    </row>
    <row r="536">
      <c r="A536" s="4">
        <v>47.0</v>
      </c>
      <c r="B536" s="4">
        <f>VLOOKUP(Transactions!C534, Inventory_data!$A$1:$G$86, 5, True)</f>
        <v>1.17</v>
      </c>
    </row>
    <row r="537">
      <c r="A537" s="4">
        <v>20.0</v>
      </c>
      <c r="B537" s="4">
        <f>VLOOKUP(Transactions!C535, Inventory_data!$A$1:$G$86, 5, True)</f>
        <v>1.11</v>
      </c>
    </row>
    <row r="538">
      <c r="A538" s="4">
        <v>66.0</v>
      </c>
      <c r="B538" s="4">
        <f>VLOOKUP(Transactions!C536, Inventory_data!$A$1:$G$86, 5, True)</f>
        <v>1.12</v>
      </c>
    </row>
    <row r="539">
      <c r="A539" s="4">
        <v>40.0</v>
      </c>
      <c r="B539" s="4">
        <f>VLOOKUP(Transactions!C537, Inventory_data!$A$1:$G$86, 5, True)</f>
        <v>1.17</v>
      </c>
    </row>
    <row r="540">
      <c r="A540" s="4">
        <v>36.0</v>
      </c>
      <c r="B540" s="4">
        <f>VLOOKUP(Transactions!C538, Inventory_data!$A$1:$G$86, 5, True)</f>
        <v>1.12</v>
      </c>
    </row>
    <row r="541">
      <c r="A541" s="4">
        <v>9.0</v>
      </c>
      <c r="B541" s="4">
        <f>VLOOKUP(Transactions!C539, Inventory_data!$A$1:$G$86, 5, True)</f>
        <v>0.96</v>
      </c>
    </row>
    <row r="542">
      <c r="A542" s="4">
        <v>66.0</v>
      </c>
      <c r="B542" s="4">
        <f>VLOOKUP(Transactions!C540, Inventory_data!$A$1:$G$86, 5, True)</f>
        <v>1.12</v>
      </c>
    </row>
    <row r="543">
      <c r="A543" s="4">
        <v>17.0</v>
      </c>
      <c r="B543" s="4">
        <f>VLOOKUP(Transactions!C541, Inventory_data!$A$1:$G$86, 5, True)</f>
        <v>2.67</v>
      </c>
    </row>
    <row r="544">
      <c r="A544" s="4">
        <v>42.0</v>
      </c>
      <c r="B544" s="4">
        <f>VLOOKUP(Transactions!C542, Inventory_data!$A$1:$G$86, 5, True)</f>
        <v>5.99</v>
      </c>
    </row>
    <row r="545">
      <c r="A545" s="4">
        <v>17.0</v>
      </c>
      <c r="B545" s="4">
        <f>VLOOKUP(Transactions!C543, Inventory_data!$A$1:$G$86, 5, True)</f>
        <v>2.67</v>
      </c>
    </row>
    <row r="546">
      <c r="A546" s="4">
        <v>52.0</v>
      </c>
      <c r="B546" s="4">
        <f>VLOOKUP(Transactions!C544, Inventory_data!$A$1:$G$86, 5, True)</f>
        <v>1.79</v>
      </c>
    </row>
    <row r="547">
      <c r="A547" s="4">
        <v>59.0</v>
      </c>
      <c r="B547" s="4">
        <f>VLOOKUP(Transactions!C545, Inventory_data!$A$1:$G$86, 5, True)</f>
        <v>4.29</v>
      </c>
    </row>
    <row r="548">
      <c r="A548" s="4">
        <v>66.0</v>
      </c>
      <c r="B548" s="4">
        <f>VLOOKUP(Transactions!C546, Inventory_data!$A$1:$G$86, 5, True)</f>
        <v>1.12</v>
      </c>
    </row>
    <row r="549">
      <c r="A549" s="4">
        <v>82.0</v>
      </c>
      <c r="B549" s="4">
        <f>VLOOKUP(Transactions!C547, Inventory_data!$A$1:$G$86, 5, True)</f>
        <v>3.08</v>
      </c>
    </row>
    <row r="550">
      <c r="A550" s="4">
        <v>1.0</v>
      </c>
      <c r="B550" s="4">
        <f>VLOOKUP(Transactions!C548, Inventory_data!$A$1:$G$86, 5, True)</f>
        <v>3.28</v>
      </c>
    </row>
    <row r="551">
      <c r="A551" s="4">
        <v>12.0</v>
      </c>
      <c r="B551" s="4">
        <f>VLOOKUP(Transactions!C549, Inventory_data!$A$1:$G$86, 5, True)</f>
        <v>1.15</v>
      </c>
    </row>
    <row r="552">
      <c r="A552" s="4">
        <v>79.0</v>
      </c>
      <c r="B552" s="4">
        <f>VLOOKUP(Transactions!C550, Inventory_data!$A$1:$G$86, 5, True)</f>
        <v>3.3</v>
      </c>
    </row>
    <row r="553">
      <c r="A553" s="4">
        <v>1.0</v>
      </c>
      <c r="B553" s="4">
        <f>VLOOKUP(Transactions!C551, Inventory_data!$A$1:$G$86, 5, True)</f>
        <v>3.28</v>
      </c>
    </row>
    <row r="554">
      <c r="A554" s="4">
        <v>11.0</v>
      </c>
      <c r="B554" s="4">
        <f>VLOOKUP(Transactions!C552, Inventory_data!$A$1:$G$86, 5, True)</f>
        <v>4.89</v>
      </c>
    </row>
    <row r="555">
      <c r="A555" s="4">
        <v>70.0</v>
      </c>
      <c r="B555" s="4">
        <f>VLOOKUP(Transactions!C553, Inventory_data!$A$1:$G$86, 5, True)</f>
        <v>0.19</v>
      </c>
    </row>
    <row r="556">
      <c r="A556" s="4">
        <v>43.0</v>
      </c>
      <c r="B556" s="4">
        <f>VLOOKUP(Transactions!C554, Inventory_data!$A$1:$G$86, 5, True)</f>
        <v>0.99</v>
      </c>
    </row>
    <row r="557">
      <c r="A557" s="4">
        <v>26.0</v>
      </c>
      <c r="B557" s="4">
        <f>VLOOKUP(Transactions!C555, Inventory_data!$A$1:$G$86, 5, True)</f>
        <v>0.25</v>
      </c>
    </row>
    <row r="558">
      <c r="A558" s="4">
        <v>72.0</v>
      </c>
      <c r="B558" s="4">
        <f>VLOOKUP(Transactions!C556, Inventory_data!$A$1:$G$86, 5, True)</f>
        <v>0.27</v>
      </c>
    </row>
    <row r="559">
      <c r="A559" s="4">
        <v>78.0</v>
      </c>
      <c r="B559" s="4">
        <f>VLOOKUP(Transactions!C557, Inventory_data!$A$1:$G$86, 5, True)</f>
        <v>1.44</v>
      </c>
    </row>
    <row r="560">
      <c r="A560" s="4">
        <v>16.0</v>
      </c>
      <c r="B560" s="4">
        <f>VLOOKUP(Transactions!C558, Inventory_data!$A$1:$G$86, 5, True)</f>
        <v>2.43</v>
      </c>
    </row>
    <row r="561">
      <c r="A561" s="4">
        <v>9.0</v>
      </c>
      <c r="B561" s="4">
        <f>VLOOKUP(Transactions!C559, Inventory_data!$A$1:$G$86, 5, True)</f>
        <v>0.96</v>
      </c>
    </row>
    <row r="562">
      <c r="A562" s="4">
        <v>83.0</v>
      </c>
      <c r="B562" s="4">
        <f>VLOOKUP(Transactions!C560, Inventory_data!$A$1:$G$86, 5, True)</f>
        <v>0.39</v>
      </c>
    </row>
    <row r="563">
      <c r="A563" s="4">
        <v>8.0</v>
      </c>
      <c r="B563" s="4">
        <f>VLOOKUP(Transactions!C561, Inventory_data!$A$1:$G$86, 5, True)</f>
        <v>3.99</v>
      </c>
    </row>
    <row r="564">
      <c r="A564" s="4">
        <v>43.0</v>
      </c>
      <c r="B564" s="4">
        <f>VLOOKUP(Transactions!C562, Inventory_data!$A$1:$G$86, 5, True)</f>
        <v>0.99</v>
      </c>
    </row>
    <row r="565">
      <c r="A565" s="4">
        <v>55.0</v>
      </c>
      <c r="B565" s="4">
        <f>VLOOKUP(Transactions!C563, Inventory_data!$A$1:$G$86, 5, True)</f>
        <v>1.1</v>
      </c>
    </row>
    <row r="566">
      <c r="A566" s="4">
        <v>46.0</v>
      </c>
      <c r="B566" s="4">
        <f>VLOOKUP(Transactions!C564, Inventory_data!$A$1:$G$86, 5, True)</f>
        <v>16.99</v>
      </c>
    </row>
    <row r="567">
      <c r="A567" s="4">
        <v>80.0</v>
      </c>
      <c r="B567" s="4">
        <f>VLOOKUP(Transactions!C565, Inventory_data!$A$1:$G$86, 5, True)</f>
        <v>3.49</v>
      </c>
    </row>
    <row r="568">
      <c r="A568" s="4">
        <v>53.0</v>
      </c>
      <c r="B568" s="4">
        <f>VLOOKUP(Transactions!C566, Inventory_data!$A$1:$G$86, 5, True)</f>
        <v>1.69</v>
      </c>
    </row>
    <row r="569">
      <c r="A569" s="4">
        <v>45.0</v>
      </c>
      <c r="B569" s="4">
        <f>VLOOKUP(Transactions!C567, Inventory_data!$A$1:$G$86, 5, True)</f>
        <v>1.29</v>
      </c>
    </row>
    <row r="570">
      <c r="A570" s="4">
        <v>23.0</v>
      </c>
      <c r="B570" s="4">
        <f>VLOOKUP(Transactions!C568, Inventory_data!$A$1:$G$86, 5, True)</f>
        <v>0.91</v>
      </c>
    </row>
    <row r="571">
      <c r="A571" s="4">
        <v>52.0</v>
      </c>
      <c r="B571" s="4">
        <f>VLOOKUP(Transactions!C569, Inventory_data!$A$1:$G$86, 5, True)</f>
        <v>1.79</v>
      </c>
    </row>
    <row r="572">
      <c r="A572" s="4">
        <v>57.0</v>
      </c>
      <c r="B572" s="4">
        <f>VLOOKUP(Transactions!C570, Inventory_data!$A$1:$G$86, 5, True)</f>
        <v>3.6</v>
      </c>
    </row>
    <row r="573">
      <c r="A573" s="4">
        <v>7.0</v>
      </c>
      <c r="B573" s="4">
        <f>VLOOKUP(Transactions!C571, Inventory_data!$A$1:$G$86, 5, True)</f>
        <v>2.54</v>
      </c>
    </row>
    <row r="574">
      <c r="A574" s="4">
        <v>17.0</v>
      </c>
      <c r="B574" s="4">
        <f>VLOOKUP(Transactions!C572, Inventory_data!$A$1:$G$86, 5, True)</f>
        <v>2.67</v>
      </c>
    </row>
    <row r="575">
      <c r="A575" s="4">
        <v>64.0</v>
      </c>
      <c r="B575" s="4">
        <f>VLOOKUP(Transactions!C573, Inventory_data!$A$1:$G$86, 5, True)</f>
        <v>1.22</v>
      </c>
    </row>
    <row r="576">
      <c r="A576" s="4">
        <v>80.0</v>
      </c>
      <c r="B576" s="4">
        <f>VLOOKUP(Transactions!C574, Inventory_data!$A$1:$G$86, 5, True)</f>
        <v>3.49</v>
      </c>
    </row>
    <row r="577">
      <c r="A577" s="4">
        <v>41.0</v>
      </c>
      <c r="B577" s="4">
        <f>VLOOKUP(Transactions!C575, Inventory_data!$A$1:$G$86, 5, True)</f>
        <v>1.09</v>
      </c>
    </row>
    <row r="578">
      <c r="A578" s="4">
        <v>74.0</v>
      </c>
      <c r="B578" s="4">
        <f>VLOOKUP(Transactions!C576, Inventory_data!$A$1:$G$86, 5, True)</f>
        <v>0.75</v>
      </c>
    </row>
    <row r="579">
      <c r="A579" s="4">
        <v>7.0</v>
      </c>
      <c r="B579" s="4">
        <f>VLOOKUP(Transactions!C577, Inventory_data!$A$1:$G$86, 5, True)</f>
        <v>2.54</v>
      </c>
    </row>
    <row r="580">
      <c r="A580" s="4">
        <v>72.0</v>
      </c>
      <c r="B580" s="4">
        <f>VLOOKUP(Transactions!C578, Inventory_data!$A$1:$G$86, 5, True)</f>
        <v>0.27</v>
      </c>
    </row>
    <row r="581">
      <c r="A581" s="4">
        <v>3.0</v>
      </c>
      <c r="B581" s="4">
        <f>VLOOKUP(Transactions!C579, Inventory_data!$A$1:$G$86, 5, True)</f>
        <v>1.02</v>
      </c>
    </row>
    <row r="582">
      <c r="A582" s="4">
        <v>77.0</v>
      </c>
      <c r="B582" s="4">
        <f>VLOOKUP(Transactions!C580, Inventory_data!$A$1:$G$86, 5, True)</f>
        <v>2.67</v>
      </c>
    </row>
    <row r="583">
      <c r="A583" s="4">
        <v>60.0</v>
      </c>
      <c r="B583" s="4">
        <f>VLOOKUP(Transactions!C581, Inventory_data!$A$1:$G$86, 5, True)</f>
        <v>2.06</v>
      </c>
    </row>
    <row r="584">
      <c r="A584" s="4">
        <v>26.0</v>
      </c>
      <c r="B584" s="4">
        <f>VLOOKUP(Transactions!C582, Inventory_data!$A$1:$G$86, 5, True)</f>
        <v>0.25</v>
      </c>
    </row>
    <row r="585">
      <c r="A585" s="4">
        <v>54.0</v>
      </c>
      <c r="B585" s="4">
        <f>VLOOKUP(Transactions!C583, Inventory_data!$A$1:$G$86, 5, True)</f>
        <v>1.23</v>
      </c>
    </row>
    <row r="586">
      <c r="A586" s="4">
        <v>84.0</v>
      </c>
      <c r="B586" s="4">
        <f>VLOOKUP(Transactions!C584, Inventory_data!$A$1:$G$86, 5, True)</f>
        <v>2.59</v>
      </c>
    </row>
    <row r="587">
      <c r="A587" s="4">
        <v>39.0</v>
      </c>
      <c r="B587" s="4">
        <f>VLOOKUP(Transactions!C585, Inventory_data!$A$1:$G$86, 5, True)</f>
        <v>0.59</v>
      </c>
    </row>
    <row r="588">
      <c r="A588" s="4">
        <v>26.0</v>
      </c>
      <c r="B588" s="4">
        <f>VLOOKUP(Transactions!C586, Inventory_data!$A$1:$G$86, 5, True)</f>
        <v>0.25</v>
      </c>
    </row>
    <row r="589">
      <c r="A589" s="4">
        <v>65.0</v>
      </c>
      <c r="B589" s="4">
        <f>VLOOKUP(Transactions!C587, Inventory_data!$A$1:$G$86, 5, True)</f>
        <v>1.32</v>
      </c>
    </row>
    <row r="590">
      <c r="A590" s="4">
        <v>2.0</v>
      </c>
      <c r="B590" s="4">
        <f>VLOOKUP(Transactions!C588, Inventory_data!$A$1:$G$86, 5, True)</f>
        <v>1.44</v>
      </c>
    </row>
    <row r="591">
      <c r="A591" s="4">
        <v>39.0</v>
      </c>
      <c r="B591" s="4">
        <f>VLOOKUP(Transactions!C589, Inventory_data!$A$1:$G$86, 5, True)</f>
        <v>0.59</v>
      </c>
    </row>
    <row r="592">
      <c r="A592" s="4">
        <v>64.0</v>
      </c>
      <c r="B592" s="4">
        <f>VLOOKUP(Transactions!C590, Inventory_data!$A$1:$G$86, 5, True)</f>
        <v>1.22</v>
      </c>
    </row>
    <row r="593">
      <c r="A593" s="4">
        <v>12.0</v>
      </c>
      <c r="B593" s="4">
        <f>VLOOKUP(Transactions!C591, Inventory_data!$A$1:$G$86, 5, True)</f>
        <v>1.15</v>
      </c>
    </row>
    <row r="594">
      <c r="A594" s="4">
        <v>64.0</v>
      </c>
      <c r="B594" s="4">
        <f>VLOOKUP(Transactions!C592, Inventory_data!$A$1:$G$86, 5, True)</f>
        <v>1.22</v>
      </c>
    </row>
    <row r="595">
      <c r="A595" s="4">
        <v>30.0</v>
      </c>
      <c r="B595" s="4">
        <f>VLOOKUP(Transactions!C593, Inventory_data!$A$1:$G$86, 5, True)</f>
        <v>0.91</v>
      </c>
    </row>
    <row r="596">
      <c r="A596" s="4">
        <v>84.0</v>
      </c>
      <c r="B596" s="4">
        <f>VLOOKUP(Transactions!C594, Inventory_data!$A$1:$G$86, 5, True)</f>
        <v>2.59</v>
      </c>
    </row>
    <row r="597">
      <c r="A597" s="4">
        <v>18.0</v>
      </c>
      <c r="B597" s="4">
        <f>VLOOKUP(Transactions!C595, Inventory_data!$A$1:$G$86, 5, True)</f>
        <v>0.67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4" max="4" width="9.71"/>
  </cols>
  <sheetData>
    <row r="1">
      <c r="A1" s="20" t="s">
        <v>121</v>
      </c>
      <c r="B1" s="21"/>
      <c r="C1" s="21"/>
      <c r="D1" s="21"/>
    </row>
    <row r="3">
      <c r="A3" s="2" t="s">
        <v>118</v>
      </c>
      <c r="B3" s="22" t="s">
        <v>122</v>
      </c>
      <c r="C3" s="22" t="s">
        <v>123</v>
      </c>
      <c r="D3" s="23"/>
      <c r="E3" s="22" t="s">
        <v>124</v>
      </c>
      <c r="F3" s="22" t="s">
        <v>125</v>
      </c>
      <c r="G3" s="24"/>
    </row>
    <row r="4">
      <c r="A4" s="4">
        <f>VLOOKUP(Transactions!C2,Inventory_data!$A$1:$G$86,5,True)</f>
        <v>1.02</v>
      </c>
      <c r="B4" s="4">
        <f t="shared" ref="B4:B86" si="1">IF(A4&lt;1,0,1)</f>
        <v>1</v>
      </c>
      <c r="C4" s="4">
        <f>SUM(B4:B86)</f>
        <v>53</v>
      </c>
      <c r="E4" s="4">
        <f t="shared" ref="E4:E86" si="2">IF(A4&gt;1,0,1)</f>
        <v>0</v>
      </c>
      <c r="F4" s="4">
        <f>SUM(E4:E86)</f>
        <v>30</v>
      </c>
    </row>
    <row r="5">
      <c r="A5" s="4">
        <f>VLOOKUP(Transactions!C3,Inventory_data!$A$1:$G$86,5,True)</f>
        <v>0.55</v>
      </c>
      <c r="B5" s="4">
        <f t="shared" si="1"/>
        <v>0</v>
      </c>
      <c r="E5" s="4">
        <f t="shared" si="2"/>
        <v>1</v>
      </c>
    </row>
    <row r="6">
      <c r="A6" s="4">
        <f>VLOOKUP(Transactions!C4,Inventory_data!$A$1:$G$86,5,True)</f>
        <v>0.91</v>
      </c>
      <c r="B6" s="4">
        <f t="shared" si="1"/>
        <v>0</v>
      </c>
      <c r="E6" s="4">
        <f t="shared" si="2"/>
        <v>1</v>
      </c>
    </row>
    <row r="7">
      <c r="A7" s="4">
        <f>VLOOKUP(Transactions!C5,Inventory_data!$A$1:$G$86,5,True)</f>
        <v>1.79</v>
      </c>
      <c r="B7" s="4">
        <f t="shared" si="1"/>
        <v>1</v>
      </c>
      <c r="E7" s="4">
        <f t="shared" si="2"/>
        <v>0</v>
      </c>
    </row>
    <row r="8">
      <c r="A8" s="4">
        <f>VLOOKUP(Transactions!C6,Inventory_data!$A$1:$G$86,5,True)</f>
        <v>1.19</v>
      </c>
      <c r="B8" s="4">
        <f t="shared" si="1"/>
        <v>1</v>
      </c>
      <c r="E8" s="4">
        <f t="shared" si="2"/>
        <v>0</v>
      </c>
    </row>
    <row r="9">
      <c r="A9" s="4">
        <f>VLOOKUP(Transactions!C7,Inventory_data!$A$1:$G$86,5,True)</f>
        <v>0.69</v>
      </c>
      <c r="B9" s="4">
        <f t="shared" si="1"/>
        <v>0</v>
      </c>
      <c r="E9" s="4">
        <f t="shared" si="2"/>
        <v>1</v>
      </c>
    </row>
    <row r="10">
      <c r="A10" s="4">
        <f>VLOOKUP(Transactions!C8,Inventory_data!$A$1:$G$86,5,True)</f>
        <v>1.29</v>
      </c>
      <c r="B10" s="4">
        <f t="shared" si="1"/>
        <v>1</v>
      </c>
      <c r="E10" s="4">
        <f t="shared" si="2"/>
        <v>0</v>
      </c>
    </row>
    <row r="11">
      <c r="A11" s="4">
        <f>VLOOKUP(Transactions!C9,Inventory_data!$A$1:$G$86,5,True)</f>
        <v>2.67</v>
      </c>
      <c r="B11" s="4">
        <f t="shared" si="1"/>
        <v>1</v>
      </c>
      <c r="E11" s="4">
        <f t="shared" si="2"/>
        <v>0</v>
      </c>
    </row>
    <row r="12">
      <c r="A12" s="4">
        <f>VLOOKUP(Transactions!C10,Inventory_data!$A$1:$G$86,5,True)</f>
        <v>0.61</v>
      </c>
      <c r="B12" s="4">
        <f t="shared" si="1"/>
        <v>0</v>
      </c>
      <c r="E12" s="4">
        <f t="shared" si="2"/>
        <v>1</v>
      </c>
    </row>
    <row r="13">
      <c r="A13" s="4">
        <f>VLOOKUP(Transactions!C11,Inventory_data!$A$1:$G$86,5,True)</f>
        <v>2.59</v>
      </c>
      <c r="B13" s="4">
        <f t="shared" si="1"/>
        <v>1</v>
      </c>
      <c r="E13" s="4">
        <f t="shared" si="2"/>
        <v>0</v>
      </c>
    </row>
    <row r="14">
      <c r="A14" s="4">
        <f>VLOOKUP(Transactions!C12,Inventory_data!$A$1:$G$86,5,True)</f>
        <v>1.17</v>
      </c>
      <c r="B14" s="4">
        <f t="shared" si="1"/>
        <v>1</v>
      </c>
      <c r="E14" s="4">
        <f t="shared" si="2"/>
        <v>0</v>
      </c>
    </row>
    <row r="15">
      <c r="A15" s="4">
        <f>VLOOKUP(Transactions!C13,Inventory_data!$A$1:$G$86,5,True)</f>
        <v>4.99</v>
      </c>
      <c r="B15" s="4">
        <f t="shared" si="1"/>
        <v>1</v>
      </c>
      <c r="E15" s="4">
        <f t="shared" si="2"/>
        <v>0</v>
      </c>
    </row>
    <row r="16">
      <c r="A16" s="4">
        <f>VLOOKUP(Transactions!C14,Inventory_data!$A$1:$G$86,5,True)</f>
        <v>3.99</v>
      </c>
      <c r="B16" s="4">
        <f t="shared" si="1"/>
        <v>1</v>
      </c>
      <c r="E16" s="4">
        <f t="shared" si="2"/>
        <v>0</v>
      </c>
    </row>
    <row r="17">
      <c r="A17" s="4">
        <f>VLOOKUP(Transactions!C15,Inventory_data!$A$1:$G$86,5,True)</f>
        <v>2.06</v>
      </c>
      <c r="B17" s="4">
        <f t="shared" si="1"/>
        <v>1</v>
      </c>
      <c r="E17" s="4">
        <f t="shared" si="2"/>
        <v>0</v>
      </c>
    </row>
    <row r="18">
      <c r="A18" s="4">
        <f>VLOOKUP(Transactions!C16,Inventory_data!$A$1:$G$86,5,True)</f>
        <v>1.19</v>
      </c>
      <c r="B18" s="4">
        <f t="shared" si="1"/>
        <v>1</v>
      </c>
      <c r="E18" s="4">
        <f t="shared" si="2"/>
        <v>0</v>
      </c>
    </row>
    <row r="19">
      <c r="A19" s="4">
        <f>VLOOKUP(Transactions!C17,Inventory_data!$A$1:$G$86,5,True)</f>
        <v>1.22</v>
      </c>
      <c r="B19" s="4">
        <f t="shared" si="1"/>
        <v>1</v>
      </c>
      <c r="E19" s="4">
        <f t="shared" si="2"/>
        <v>0</v>
      </c>
    </row>
    <row r="20">
      <c r="A20" s="4">
        <f>VLOOKUP(Transactions!C18,Inventory_data!$A$1:$G$86,5,True)</f>
        <v>1.15</v>
      </c>
      <c r="B20" s="4">
        <f t="shared" si="1"/>
        <v>1</v>
      </c>
      <c r="E20" s="4">
        <f t="shared" si="2"/>
        <v>0</v>
      </c>
    </row>
    <row r="21">
      <c r="A21" s="4">
        <f>VLOOKUP(Transactions!C19,Inventory_data!$A$1:$G$86,5,True)</f>
        <v>0.53</v>
      </c>
      <c r="B21" s="4">
        <f t="shared" si="1"/>
        <v>0</v>
      </c>
      <c r="E21" s="4">
        <f t="shared" si="2"/>
        <v>1</v>
      </c>
    </row>
    <row r="22">
      <c r="A22" s="4">
        <f>VLOOKUP(Transactions!C20,Inventory_data!$A$1:$G$86,5,True)</f>
        <v>2.67</v>
      </c>
      <c r="B22" s="4">
        <f t="shared" si="1"/>
        <v>1</v>
      </c>
      <c r="E22" s="4">
        <f t="shared" si="2"/>
        <v>0</v>
      </c>
    </row>
    <row r="23">
      <c r="A23" s="4">
        <f>VLOOKUP(Transactions!C21,Inventory_data!$A$1:$G$86,5,True)</f>
        <v>0.19</v>
      </c>
      <c r="B23" s="4">
        <f t="shared" si="1"/>
        <v>0</v>
      </c>
      <c r="E23" s="4">
        <f t="shared" si="2"/>
        <v>1</v>
      </c>
    </row>
    <row r="24">
      <c r="A24" s="4">
        <f>VLOOKUP(Transactions!C22,Inventory_data!$A$1:$G$86,5,True)</f>
        <v>0.96</v>
      </c>
      <c r="B24" s="4">
        <f t="shared" si="1"/>
        <v>0</v>
      </c>
      <c r="E24" s="4">
        <f t="shared" si="2"/>
        <v>1</v>
      </c>
    </row>
    <row r="25">
      <c r="A25" s="4">
        <f>VLOOKUP(Transactions!C23,Inventory_data!$A$1:$G$86,5,True)</f>
        <v>0.67</v>
      </c>
      <c r="B25" s="4">
        <f t="shared" si="1"/>
        <v>0</v>
      </c>
      <c r="E25" s="4">
        <f t="shared" si="2"/>
        <v>1</v>
      </c>
    </row>
    <row r="26">
      <c r="A26" s="4">
        <f>VLOOKUP(Transactions!C24,Inventory_data!$A$1:$G$86,5,True)</f>
        <v>2.67</v>
      </c>
      <c r="B26" s="4">
        <f t="shared" si="1"/>
        <v>1</v>
      </c>
      <c r="E26" s="4">
        <f t="shared" si="2"/>
        <v>0</v>
      </c>
    </row>
    <row r="27">
      <c r="A27" s="4">
        <f>VLOOKUP(Transactions!C25,Inventory_data!$A$1:$G$86,5,True)</f>
        <v>39.99</v>
      </c>
      <c r="B27" s="4">
        <f t="shared" si="1"/>
        <v>1</v>
      </c>
      <c r="E27" s="4">
        <f t="shared" si="2"/>
        <v>0</v>
      </c>
    </row>
    <row r="28">
      <c r="A28" s="4">
        <f>VLOOKUP(Transactions!C26,Inventory_data!$A$1:$G$86,5,True)</f>
        <v>1.17</v>
      </c>
      <c r="B28" s="4">
        <f t="shared" si="1"/>
        <v>1</v>
      </c>
      <c r="E28" s="4">
        <f t="shared" si="2"/>
        <v>0</v>
      </c>
    </row>
    <row r="29">
      <c r="A29" s="4">
        <f>VLOOKUP(Transactions!C27,Inventory_data!$A$1:$G$86,5,True)</f>
        <v>1.12</v>
      </c>
      <c r="B29" s="4">
        <f t="shared" si="1"/>
        <v>1</v>
      </c>
      <c r="E29" s="4">
        <f t="shared" si="2"/>
        <v>0</v>
      </c>
    </row>
    <row r="30">
      <c r="A30" s="4">
        <f>VLOOKUP(Transactions!C28,Inventory_data!$A$1:$G$86,5,True)</f>
        <v>0.96</v>
      </c>
      <c r="B30" s="4">
        <f t="shared" si="1"/>
        <v>0</v>
      </c>
      <c r="E30" s="4">
        <f t="shared" si="2"/>
        <v>1</v>
      </c>
    </row>
    <row r="31">
      <c r="A31" s="4">
        <f>VLOOKUP(Transactions!C29,Inventory_data!$A$1:$G$86,5,True)</f>
        <v>1.12</v>
      </c>
      <c r="B31" s="4">
        <f t="shared" si="1"/>
        <v>1</v>
      </c>
      <c r="E31" s="4">
        <f t="shared" si="2"/>
        <v>0</v>
      </c>
    </row>
    <row r="32">
      <c r="A32" s="4">
        <f>VLOOKUP(Transactions!C30,Inventory_data!$A$1:$G$86,5,True)</f>
        <v>2.59</v>
      </c>
      <c r="B32" s="4">
        <f t="shared" si="1"/>
        <v>1</v>
      </c>
      <c r="E32" s="4">
        <f t="shared" si="2"/>
        <v>0</v>
      </c>
    </row>
    <row r="33">
      <c r="A33" s="4">
        <f>VLOOKUP(Transactions!C31,Inventory_data!$A$1:$G$86,5,True)</f>
        <v>5.99</v>
      </c>
      <c r="B33" s="4">
        <f t="shared" si="1"/>
        <v>1</v>
      </c>
      <c r="E33" s="4">
        <f t="shared" si="2"/>
        <v>0</v>
      </c>
    </row>
    <row r="34">
      <c r="A34" s="4">
        <f>VLOOKUP(Transactions!C32,Inventory_data!$A$1:$G$86,5,True)</f>
        <v>0.86</v>
      </c>
      <c r="B34" s="4">
        <f t="shared" si="1"/>
        <v>0</v>
      </c>
      <c r="E34" s="4">
        <f t="shared" si="2"/>
        <v>1</v>
      </c>
    </row>
    <row r="35">
      <c r="A35" s="4">
        <f>VLOOKUP(Transactions!C33,Inventory_data!$A$1:$G$86,5,True)</f>
        <v>0.63</v>
      </c>
      <c r="B35" s="4">
        <f t="shared" si="1"/>
        <v>0</v>
      </c>
      <c r="E35" s="4">
        <f t="shared" si="2"/>
        <v>1</v>
      </c>
    </row>
    <row r="36">
      <c r="A36" s="4">
        <f>VLOOKUP(Transactions!C34,Inventory_data!$A$1:$G$86,5,True)</f>
        <v>1.12</v>
      </c>
      <c r="B36" s="4">
        <f t="shared" si="1"/>
        <v>1</v>
      </c>
      <c r="E36" s="4">
        <f t="shared" si="2"/>
        <v>0</v>
      </c>
    </row>
    <row r="37">
      <c r="A37" s="4">
        <f>VLOOKUP(Transactions!C35,Inventory_data!$A$1:$G$86,5,True)</f>
        <v>1.09</v>
      </c>
      <c r="B37" s="4">
        <f t="shared" si="1"/>
        <v>1</v>
      </c>
      <c r="E37" s="4">
        <f t="shared" si="2"/>
        <v>0</v>
      </c>
    </row>
    <row r="38">
      <c r="A38" s="4">
        <f>VLOOKUP(Transactions!C36,Inventory_data!$A$1:$G$86,5,True)</f>
        <v>19.59</v>
      </c>
      <c r="B38" s="4">
        <f t="shared" si="1"/>
        <v>1</v>
      </c>
      <c r="E38" s="4">
        <f t="shared" si="2"/>
        <v>0</v>
      </c>
    </row>
    <row r="39">
      <c r="A39" s="4">
        <f>VLOOKUP(Transactions!C37,Inventory_data!$A$1:$G$86,5,True)</f>
        <v>0.69</v>
      </c>
      <c r="B39" s="4">
        <f t="shared" si="1"/>
        <v>0</v>
      </c>
      <c r="E39" s="4">
        <f t="shared" si="2"/>
        <v>1</v>
      </c>
    </row>
    <row r="40">
      <c r="A40" s="4">
        <f>VLOOKUP(Transactions!C38,Inventory_data!$A$1:$G$86,5,True)</f>
        <v>1.09</v>
      </c>
      <c r="B40" s="4">
        <f t="shared" si="1"/>
        <v>1</v>
      </c>
      <c r="E40" s="4">
        <f t="shared" si="2"/>
        <v>0</v>
      </c>
    </row>
    <row r="41">
      <c r="A41" s="4">
        <f>VLOOKUP(Transactions!C39,Inventory_data!$A$1:$G$86,5,True)</f>
        <v>0.69</v>
      </c>
      <c r="B41" s="4">
        <f t="shared" si="1"/>
        <v>0</v>
      </c>
      <c r="E41" s="4">
        <f t="shared" si="2"/>
        <v>1</v>
      </c>
    </row>
    <row r="42">
      <c r="A42" s="4">
        <f>VLOOKUP(Transactions!C40,Inventory_data!$A$1:$G$86,5,True)</f>
        <v>0.24</v>
      </c>
      <c r="B42" s="4">
        <f t="shared" si="1"/>
        <v>0</v>
      </c>
      <c r="E42" s="4">
        <f t="shared" si="2"/>
        <v>1</v>
      </c>
    </row>
    <row r="43">
      <c r="A43" s="4">
        <f>VLOOKUP(Transactions!C41,Inventory_data!$A$1:$G$86,5,True)</f>
        <v>1.69</v>
      </c>
      <c r="B43" s="4">
        <f t="shared" si="1"/>
        <v>1</v>
      </c>
      <c r="E43" s="4">
        <f t="shared" si="2"/>
        <v>0</v>
      </c>
    </row>
    <row r="44">
      <c r="A44" s="4">
        <f>VLOOKUP(Transactions!C42,Inventory_data!$A$1:$G$86,5,True)</f>
        <v>1.69</v>
      </c>
      <c r="B44" s="4">
        <f t="shared" si="1"/>
        <v>1</v>
      </c>
      <c r="E44" s="4">
        <f t="shared" si="2"/>
        <v>0</v>
      </c>
    </row>
    <row r="45">
      <c r="A45" s="4">
        <f>VLOOKUP(Transactions!C43,Inventory_data!$A$1:$G$86,5,True)</f>
        <v>0.63</v>
      </c>
      <c r="B45" s="4">
        <f t="shared" si="1"/>
        <v>0</v>
      </c>
      <c r="E45" s="4">
        <f t="shared" si="2"/>
        <v>1</v>
      </c>
    </row>
    <row r="46">
      <c r="A46" s="4">
        <f>VLOOKUP(Transactions!C44,Inventory_data!$A$1:$G$86,5,True)</f>
        <v>0.96</v>
      </c>
      <c r="B46" s="4">
        <f t="shared" si="1"/>
        <v>0</v>
      </c>
      <c r="E46" s="4">
        <f t="shared" si="2"/>
        <v>1</v>
      </c>
    </row>
    <row r="47">
      <c r="A47" s="4">
        <f>VLOOKUP(Transactions!C45,Inventory_data!$A$1:$G$86,5,True)</f>
        <v>1.17</v>
      </c>
      <c r="B47" s="4">
        <f t="shared" si="1"/>
        <v>1</v>
      </c>
      <c r="E47" s="4">
        <f t="shared" si="2"/>
        <v>0</v>
      </c>
    </row>
    <row r="48">
      <c r="A48" s="4">
        <f>VLOOKUP(Transactions!C46,Inventory_data!$A$1:$G$86,5,True)</f>
        <v>0.67</v>
      </c>
      <c r="B48" s="4">
        <f t="shared" si="1"/>
        <v>0</v>
      </c>
      <c r="E48" s="4">
        <f t="shared" si="2"/>
        <v>1</v>
      </c>
    </row>
    <row r="49">
      <c r="A49" s="4">
        <f>VLOOKUP(Transactions!C47,Inventory_data!$A$1:$G$86,5,True)</f>
        <v>1.79</v>
      </c>
      <c r="B49" s="4">
        <f t="shared" si="1"/>
        <v>1</v>
      </c>
      <c r="E49" s="4">
        <f t="shared" si="2"/>
        <v>0</v>
      </c>
    </row>
    <row r="50">
      <c r="A50" s="4">
        <f>VLOOKUP(Transactions!C48,Inventory_data!$A$1:$G$86,5,True)</f>
        <v>1.09</v>
      </c>
      <c r="B50" s="4">
        <f t="shared" si="1"/>
        <v>1</v>
      </c>
      <c r="E50" s="4">
        <f t="shared" si="2"/>
        <v>0</v>
      </c>
    </row>
    <row r="51">
      <c r="A51" s="4">
        <f>VLOOKUP(Transactions!C49,Inventory_data!$A$1:$G$86,5,True)</f>
        <v>0.53</v>
      </c>
      <c r="B51" s="4">
        <f t="shared" si="1"/>
        <v>0</v>
      </c>
      <c r="E51" s="4">
        <f t="shared" si="2"/>
        <v>1</v>
      </c>
    </row>
    <row r="52">
      <c r="A52" s="4">
        <f>VLOOKUP(Transactions!C50,Inventory_data!$A$1:$G$86,5,True)</f>
        <v>6</v>
      </c>
      <c r="B52" s="4">
        <f t="shared" si="1"/>
        <v>1</v>
      </c>
      <c r="E52" s="4">
        <f t="shared" si="2"/>
        <v>0</v>
      </c>
    </row>
    <row r="53">
      <c r="A53" s="4">
        <f>VLOOKUP(Transactions!C51,Inventory_data!$A$1:$G$86,5,True)</f>
        <v>1.74</v>
      </c>
      <c r="B53" s="4">
        <f t="shared" si="1"/>
        <v>1</v>
      </c>
      <c r="E53" s="4">
        <f t="shared" si="2"/>
        <v>0</v>
      </c>
    </row>
    <row r="54">
      <c r="A54" s="4">
        <f>VLOOKUP(Transactions!C52,Inventory_data!$A$1:$G$86,5,True)</f>
        <v>0.38</v>
      </c>
      <c r="B54" s="4">
        <f t="shared" si="1"/>
        <v>0</v>
      </c>
      <c r="E54" s="4">
        <f t="shared" si="2"/>
        <v>1</v>
      </c>
    </row>
    <row r="55">
      <c r="A55" s="4">
        <f>VLOOKUP(Transactions!C53,Inventory_data!$A$1:$G$86,5,True)</f>
        <v>1.1</v>
      </c>
      <c r="B55" s="4">
        <f t="shared" si="1"/>
        <v>1</v>
      </c>
      <c r="E55" s="4">
        <f t="shared" si="2"/>
        <v>0</v>
      </c>
    </row>
    <row r="56">
      <c r="A56" s="4">
        <f>VLOOKUP(Transactions!C54,Inventory_data!$A$1:$G$86,5,True)</f>
        <v>0.27</v>
      </c>
      <c r="B56" s="4">
        <f t="shared" si="1"/>
        <v>0</v>
      </c>
      <c r="E56" s="4">
        <f t="shared" si="2"/>
        <v>1</v>
      </c>
    </row>
    <row r="57">
      <c r="A57" s="4">
        <f>VLOOKUP(Transactions!C55,Inventory_data!$A$1:$G$86,5,True)</f>
        <v>1.23</v>
      </c>
      <c r="B57" s="4">
        <f t="shared" si="1"/>
        <v>1</v>
      </c>
      <c r="E57" s="4">
        <f t="shared" si="2"/>
        <v>0</v>
      </c>
    </row>
    <row r="58">
      <c r="A58" s="4">
        <f>VLOOKUP(Transactions!C56,Inventory_data!$A$1:$G$86,5,True)</f>
        <v>1.02</v>
      </c>
      <c r="B58" s="4">
        <f t="shared" si="1"/>
        <v>1</v>
      </c>
      <c r="E58" s="4">
        <f t="shared" si="2"/>
        <v>0</v>
      </c>
    </row>
    <row r="59">
      <c r="A59" s="4">
        <f>VLOOKUP(Transactions!C57,Inventory_data!$A$1:$G$86,5,True)</f>
        <v>0.39</v>
      </c>
      <c r="B59" s="4">
        <f t="shared" si="1"/>
        <v>0</v>
      </c>
      <c r="E59" s="4">
        <f t="shared" si="2"/>
        <v>1</v>
      </c>
    </row>
    <row r="60">
      <c r="A60" s="4">
        <f>VLOOKUP(Transactions!C58,Inventory_data!$A$1:$G$86,5,True)</f>
        <v>0.25</v>
      </c>
      <c r="B60" s="4">
        <f t="shared" si="1"/>
        <v>0</v>
      </c>
      <c r="E60" s="4">
        <f t="shared" si="2"/>
        <v>1</v>
      </c>
    </row>
    <row r="61">
      <c r="A61" s="4">
        <f>VLOOKUP(Transactions!C59,Inventory_data!$A$1:$G$86,5,True)</f>
        <v>19.59</v>
      </c>
      <c r="B61" s="4">
        <f t="shared" si="1"/>
        <v>1</v>
      </c>
      <c r="E61" s="4">
        <f t="shared" si="2"/>
        <v>0</v>
      </c>
    </row>
    <row r="62">
      <c r="A62" s="4">
        <f>VLOOKUP(Transactions!C60,Inventory_data!$A$1:$G$86,5,True)</f>
        <v>3.86</v>
      </c>
      <c r="B62" s="4">
        <f t="shared" si="1"/>
        <v>1</v>
      </c>
      <c r="E62" s="4">
        <f t="shared" si="2"/>
        <v>0</v>
      </c>
    </row>
    <row r="63">
      <c r="A63" s="4">
        <f>VLOOKUP(Transactions!C61,Inventory_data!$A$1:$G$86,5,True)</f>
        <v>2.99</v>
      </c>
      <c r="B63" s="4">
        <f t="shared" si="1"/>
        <v>1</v>
      </c>
      <c r="E63" s="4">
        <f t="shared" si="2"/>
        <v>0</v>
      </c>
    </row>
    <row r="64">
      <c r="A64" s="4">
        <f>VLOOKUP(Transactions!C62,Inventory_data!$A$1:$G$86,5,True)</f>
        <v>1.17</v>
      </c>
      <c r="B64" s="4">
        <f t="shared" si="1"/>
        <v>1</v>
      </c>
      <c r="E64" s="4">
        <f t="shared" si="2"/>
        <v>0</v>
      </c>
    </row>
    <row r="65">
      <c r="A65" s="4">
        <f>VLOOKUP(Transactions!C63,Inventory_data!$A$1:$G$86,5,True)</f>
        <v>0.89</v>
      </c>
      <c r="B65" s="4">
        <f t="shared" si="1"/>
        <v>0</v>
      </c>
      <c r="E65" s="4">
        <f t="shared" si="2"/>
        <v>1</v>
      </c>
    </row>
    <row r="66">
      <c r="A66" s="4">
        <f>VLOOKUP(Transactions!C64,Inventory_data!$A$1:$G$86,5,True)</f>
        <v>1.17</v>
      </c>
      <c r="B66" s="4">
        <f t="shared" si="1"/>
        <v>1</v>
      </c>
      <c r="E66" s="4">
        <f t="shared" si="2"/>
        <v>0</v>
      </c>
    </row>
    <row r="67">
      <c r="A67" s="4">
        <f>VLOOKUP(Transactions!C65,Inventory_data!$A$1:$G$86,5,True)</f>
        <v>0.89</v>
      </c>
      <c r="B67" s="4">
        <f t="shared" si="1"/>
        <v>0</v>
      </c>
      <c r="E67" s="4">
        <f t="shared" si="2"/>
        <v>1</v>
      </c>
    </row>
    <row r="68">
      <c r="A68" s="4">
        <f>VLOOKUP(Transactions!C66,Inventory_data!$A$1:$G$86,5,True)</f>
        <v>0.69</v>
      </c>
      <c r="B68" s="4">
        <f t="shared" si="1"/>
        <v>0</v>
      </c>
      <c r="E68" s="4">
        <f t="shared" si="2"/>
        <v>1</v>
      </c>
    </row>
    <row r="69">
      <c r="A69" s="4">
        <f>VLOOKUP(Transactions!C67,Inventory_data!$A$1:$G$86,5,True)</f>
        <v>0.67</v>
      </c>
      <c r="B69" s="4">
        <f t="shared" si="1"/>
        <v>0</v>
      </c>
      <c r="E69" s="4">
        <f t="shared" si="2"/>
        <v>1</v>
      </c>
    </row>
    <row r="70">
      <c r="A70" s="4">
        <f>VLOOKUP(Transactions!C68,Inventory_data!$A$1:$G$86,5,True)</f>
        <v>1.02</v>
      </c>
      <c r="B70" s="4">
        <f t="shared" si="1"/>
        <v>1</v>
      </c>
      <c r="E70" s="4">
        <f t="shared" si="2"/>
        <v>0</v>
      </c>
    </row>
    <row r="71">
      <c r="A71" s="4">
        <f>VLOOKUP(Transactions!C69,Inventory_data!$A$1:$G$86,5,True)</f>
        <v>1.32</v>
      </c>
      <c r="B71" s="4">
        <f t="shared" si="1"/>
        <v>1</v>
      </c>
      <c r="E71" s="4">
        <f t="shared" si="2"/>
        <v>0</v>
      </c>
    </row>
    <row r="72">
      <c r="A72" s="4">
        <f>VLOOKUP(Transactions!C70,Inventory_data!$A$1:$G$86,5,True)</f>
        <v>2.54</v>
      </c>
      <c r="B72" s="4">
        <f t="shared" si="1"/>
        <v>1</v>
      </c>
      <c r="E72" s="4">
        <f t="shared" si="2"/>
        <v>0</v>
      </c>
    </row>
    <row r="73">
      <c r="A73" s="4">
        <f>VLOOKUP(Transactions!C71,Inventory_data!$A$1:$G$86,5,True)</f>
        <v>1.74</v>
      </c>
      <c r="B73" s="4">
        <f t="shared" si="1"/>
        <v>1</v>
      </c>
      <c r="E73" s="4">
        <f t="shared" si="2"/>
        <v>0</v>
      </c>
    </row>
    <row r="74">
      <c r="A74" s="4">
        <f>VLOOKUP(Transactions!C72,Inventory_data!$A$1:$G$86,5,True)</f>
        <v>2.54</v>
      </c>
      <c r="B74" s="4">
        <f t="shared" si="1"/>
        <v>1</v>
      </c>
      <c r="E74" s="4">
        <f t="shared" si="2"/>
        <v>0</v>
      </c>
    </row>
    <row r="75">
      <c r="A75" s="4">
        <f>VLOOKUP(Transactions!C73,Inventory_data!$A$1:$G$86,5,True)</f>
        <v>1.02</v>
      </c>
      <c r="B75" s="4">
        <f t="shared" si="1"/>
        <v>1</v>
      </c>
      <c r="E75" s="4">
        <f t="shared" si="2"/>
        <v>0</v>
      </c>
    </row>
    <row r="76">
      <c r="A76" s="4">
        <f>VLOOKUP(Transactions!C74,Inventory_data!$A$1:$G$86,5,True)</f>
        <v>0.27</v>
      </c>
      <c r="B76" s="4">
        <f t="shared" si="1"/>
        <v>0</v>
      </c>
      <c r="E76" s="4">
        <f t="shared" si="2"/>
        <v>1</v>
      </c>
    </row>
    <row r="77">
      <c r="A77" s="4">
        <f>VLOOKUP(Transactions!C75,Inventory_data!$A$1:$G$86,5,True)</f>
        <v>2.59</v>
      </c>
      <c r="B77" s="4">
        <f t="shared" si="1"/>
        <v>1</v>
      </c>
      <c r="E77" s="4">
        <f t="shared" si="2"/>
        <v>0</v>
      </c>
    </row>
    <row r="78">
      <c r="A78" s="4">
        <f>VLOOKUP(Transactions!C76,Inventory_data!$A$1:$G$86,5,True)</f>
        <v>1.32</v>
      </c>
      <c r="B78" s="4">
        <f t="shared" si="1"/>
        <v>1</v>
      </c>
      <c r="E78" s="4">
        <f t="shared" si="2"/>
        <v>0</v>
      </c>
    </row>
    <row r="79">
      <c r="A79" s="4">
        <f>VLOOKUP(Transactions!C77,Inventory_data!$A$1:$G$86,5,True)</f>
        <v>0.53</v>
      </c>
      <c r="B79" s="4">
        <f t="shared" si="1"/>
        <v>0</v>
      </c>
      <c r="E79" s="4">
        <f t="shared" si="2"/>
        <v>1</v>
      </c>
    </row>
    <row r="80">
      <c r="A80" s="4">
        <f>VLOOKUP(Transactions!C78,Inventory_data!$A$1:$G$86,5,True)</f>
        <v>4.99</v>
      </c>
      <c r="B80" s="4">
        <f t="shared" si="1"/>
        <v>1</v>
      </c>
      <c r="E80" s="4">
        <f t="shared" si="2"/>
        <v>0</v>
      </c>
    </row>
    <row r="81">
      <c r="A81" s="4">
        <f>VLOOKUP(Transactions!C79,Inventory_data!$A$1:$G$86,5,True)</f>
        <v>4.29</v>
      </c>
      <c r="B81" s="4">
        <f t="shared" si="1"/>
        <v>1</v>
      </c>
      <c r="E81" s="4">
        <f t="shared" si="2"/>
        <v>0</v>
      </c>
    </row>
    <row r="82">
      <c r="A82" s="4">
        <f>VLOOKUP(Transactions!C80,Inventory_data!$A$1:$G$86,5,True)</f>
        <v>3.57</v>
      </c>
      <c r="B82" s="4">
        <f t="shared" si="1"/>
        <v>1</v>
      </c>
      <c r="E82" s="4">
        <f t="shared" si="2"/>
        <v>0</v>
      </c>
    </row>
    <row r="83">
      <c r="A83" s="4">
        <f>VLOOKUP(Transactions!C81,Inventory_data!$A$1:$G$86,5,True)</f>
        <v>1.79</v>
      </c>
      <c r="B83" s="4">
        <f t="shared" si="1"/>
        <v>1</v>
      </c>
      <c r="E83" s="4">
        <f t="shared" si="2"/>
        <v>0</v>
      </c>
    </row>
    <row r="84">
      <c r="A84" s="4">
        <f>VLOOKUP(Transactions!C82,Inventory_data!$A$1:$G$86,5,True)</f>
        <v>0.41</v>
      </c>
      <c r="B84" s="4">
        <f t="shared" si="1"/>
        <v>0</v>
      </c>
      <c r="E84" s="4">
        <f t="shared" si="2"/>
        <v>1</v>
      </c>
    </row>
    <row r="85">
      <c r="A85" s="4">
        <f>VLOOKUP(Transactions!C83,Inventory_data!$A$1:$G$86,5,True)</f>
        <v>3.99</v>
      </c>
      <c r="B85" s="4">
        <f t="shared" si="1"/>
        <v>1</v>
      </c>
      <c r="E85" s="4">
        <f t="shared" si="2"/>
        <v>0</v>
      </c>
    </row>
    <row r="86">
      <c r="A86" s="4">
        <f>VLOOKUP(Transactions!C84,Inventory_data!$A$1:$G$86,5,True)</f>
        <v>0.27</v>
      </c>
      <c r="B86" s="4">
        <f t="shared" si="1"/>
        <v>0</v>
      </c>
      <c r="E86" s="4">
        <f t="shared" si="2"/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67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  <pageSetUpPr/>
  </sheetPr>
  <sheetViews>
    <sheetView showGridLines="0" workbookViewId="0"/>
  </sheetViews>
  <sheetFormatPr customHeight="1" defaultColWidth="14.43" defaultRowHeight="15.0"/>
  <sheetData>
    <row r="1">
      <c r="A1" s="4" t="s">
        <v>3</v>
      </c>
      <c r="B1" s="4" t="s">
        <v>128</v>
      </c>
    </row>
    <row r="2">
      <c r="A2" s="4" t="s">
        <v>16</v>
      </c>
      <c r="B2" s="4">
        <v>2.4</v>
      </c>
    </row>
    <row r="3">
      <c r="A3" s="4" t="s">
        <v>18</v>
      </c>
      <c r="B3" s="4">
        <v>0.99</v>
      </c>
    </row>
    <row r="4">
      <c r="A4" s="4" t="s">
        <v>14</v>
      </c>
      <c r="B4" s="4">
        <v>7.69</v>
      </c>
    </row>
    <row r="5">
      <c r="A5" s="4" t="s">
        <v>12</v>
      </c>
      <c r="B5" s="4">
        <v>31.37</v>
      </c>
    </row>
    <row r="6">
      <c r="A6" s="4" t="s">
        <v>10</v>
      </c>
      <c r="B6" s="4">
        <v>79.41999999999997</v>
      </c>
    </row>
    <row r="7">
      <c r="A7" s="4" t="s">
        <v>13</v>
      </c>
      <c r="B7" s="4">
        <v>84.94999999999999</v>
      </c>
    </row>
    <row r="8">
      <c r="A8" s="4" t="s">
        <v>17</v>
      </c>
      <c r="B8" s="4">
        <v>158.34</v>
      </c>
    </row>
    <row r="9">
      <c r="A9" s="4" t="s">
        <v>15</v>
      </c>
      <c r="B9" s="4">
        <v>31.35</v>
      </c>
    </row>
    <row r="10">
      <c r="A10" s="4" t="s">
        <v>24</v>
      </c>
      <c r="B10" s="4">
        <v>138.4099999999999</v>
      </c>
    </row>
    <row r="11">
      <c r="A11" s="4" t="s">
        <v>11</v>
      </c>
      <c r="B11" s="4">
        <v>40.67999999999999</v>
      </c>
    </row>
    <row r="12">
      <c r="A12" s="4" t="s">
        <v>127</v>
      </c>
      <c r="B12" s="4">
        <v>575.6000000000001</v>
      </c>
    </row>
  </sheetData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