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29f6ed68ef6f58/Desktop/Garima/Company Dashboard/data/"/>
    </mc:Choice>
  </mc:AlternateContent>
  <xr:revisionPtr revIDLastSave="138" documentId="11_11893CBA3F587BC1B1B2DD027A27BA94D5F9666A" xr6:coauthVersionLast="47" xr6:coauthVersionMax="47" xr10:uidLastSave="{B305084A-41AD-4C9D-BC5E-9D297A0ADD47}"/>
  <bookViews>
    <workbookView xWindow="-98" yWindow="-98" windowWidth="21795" windowHeight="13875" activeTab="1" xr2:uid="{00000000-000D-0000-FFFF-FFFF00000000}"/>
  </bookViews>
  <sheets>
    <sheet name="VCDLLP" sheetId="1" r:id="rId1"/>
    <sheet name="VCDPL" sheetId="3" r:id="rId2"/>
  </sheets>
  <definedNames>
    <definedName name="_xlnm._FilterDatabase" localSheetId="0" hidden="1">VCDLLP!$A$1:$X$463</definedName>
    <definedName name="_xlnm._FilterDatabase" localSheetId="1" hidden="1">VCDPL!$A$2:$AF$586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3" i="1" l="1"/>
  <c r="J462" i="1"/>
  <c r="J461" i="1"/>
  <c r="R461" i="1" s="1"/>
  <c r="J460" i="1"/>
  <c r="R460" i="1" s="1"/>
  <c r="J459" i="1"/>
  <c r="R459" i="1" s="1"/>
  <c r="J458" i="1"/>
  <c r="R458" i="1" s="1"/>
  <c r="J457" i="1"/>
  <c r="R457" i="1" s="1"/>
  <c r="J456" i="1"/>
  <c r="R456" i="1" s="1"/>
  <c r="J455" i="1"/>
  <c r="R455" i="1" s="1"/>
  <c r="J454" i="1"/>
  <c r="R454" i="1" s="1"/>
  <c r="J453" i="1"/>
  <c r="R453" i="1" s="1"/>
  <c r="J452" i="1"/>
  <c r="R452" i="1" s="1"/>
  <c r="J451" i="1"/>
  <c r="R451" i="1" s="1"/>
  <c r="J450" i="1"/>
  <c r="R450" i="1" s="1"/>
  <c r="R449" i="1"/>
  <c r="R448" i="1"/>
  <c r="I447" i="1"/>
  <c r="J447" i="1" s="1"/>
  <c r="R446" i="1"/>
  <c r="J444" i="1"/>
  <c r="R444" i="1" s="1"/>
  <c r="U444" i="1" s="1"/>
  <c r="J443" i="1"/>
  <c r="R443" i="1" s="1"/>
  <c r="U443" i="1" s="1"/>
  <c r="J442" i="1"/>
  <c r="R442" i="1" s="1"/>
  <c r="U442" i="1" s="1"/>
  <c r="J441" i="1"/>
  <c r="R441" i="1" s="1"/>
  <c r="U441" i="1" s="1"/>
  <c r="J440" i="1"/>
  <c r="R440" i="1" s="1"/>
  <c r="U440" i="1" s="1"/>
  <c r="J439" i="1"/>
  <c r="R439" i="1" s="1"/>
  <c r="U439" i="1" s="1"/>
  <c r="J438" i="1"/>
  <c r="R438" i="1" s="1"/>
  <c r="U438" i="1" s="1"/>
  <c r="J437" i="1"/>
  <c r="R437" i="1" s="1"/>
  <c r="U437" i="1" s="1"/>
  <c r="J436" i="1"/>
  <c r="R436" i="1" s="1"/>
  <c r="U436" i="1" s="1"/>
  <c r="J435" i="1"/>
  <c r="R435" i="1" s="1"/>
  <c r="U435" i="1" s="1"/>
  <c r="J434" i="1"/>
  <c r="R434" i="1" s="1"/>
  <c r="U434" i="1" s="1"/>
  <c r="J433" i="1"/>
  <c r="R433" i="1" s="1"/>
  <c r="U433" i="1" s="1"/>
  <c r="J432" i="1"/>
  <c r="R432" i="1" s="1"/>
  <c r="U432" i="1" s="1"/>
  <c r="J431" i="1"/>
  <c r="R431" i="1" s="1"/>
  <c r="U431" i="1" s="1"/>
  <c r="J430" i="1"/>
  <c r="R430" i="1" s="1"/>
  <c r="U430" i="1" s="1"/>
  <c r="J429" i="1"/>
  <c r="R429" i="1" s="1"/>
  <c r="U429" i="1" s="1"/>
  <c r="J428" i="1"/>
  <c r="R428" i="1" s="1"/>
  <c r="U428" i="1" s="1"/>
  <c r="J427" i="1"/>
  <c r="R427" i="1" s="1"/>
  <c r="U427" i="1" s="1"/>
  <c r="J426" i="1"/>
  <c r="R426" i="1" s="1"/>
  <c r="U426" i="1" s="1"/>
  <c r="J425" i="1"/>
  <c r="R425" i="1" s="1"/>
  <c r="U425" i="1" s="1"/>
  <c r="J424" i="1"/>
  <c r="R424" i="1" s="1"/>
  <c r="U424" i="1" s="1"/>
  <c r="J423" i="1"/>
  <c r="R423" i="1" s="1"/>
  <c r="U423" i="1" s="1"/>
  <c r="J422" i="1"/>
  <c r="R422" i="1" s="1"/>
  <c r="U422" i="1" s="1"/>
  <c r="J421" i="1"/>
  <c r="R421" i="1" s="1"/>
  <c r="U421" i="1" s="1"/>
  <c r="J420" i="1"/>
  <c r="R420" i="1" s="1"/>
  <c r="U420" i="1" s="1"/>
  <c r="I419" i="1"/>
  <c r="I418" i="1"/>
  <c r="J295" i="1"/>
  <c r="R295" i="1" s="1"/>
  <c r="S295" i="1" s="1"/>
  <c r="U295" i="1" s="1"/>
  <c r="J416" i="1"/>
  <c r="R416" i="1" s="1"/>
  <c r="U416" i="1" s="1"/>
  <c r="J415" i="1"/>
  <c r="R415" i="1" s="1"/>
  <c r="U415" i="1" s="1"/>
  <c r="S414" i="1"/>
  <c r="J414" i="1"/>
  <c r="R414" i="1" s="1"/>
  <c r="J296" i="1"/>
  <c r="R296" i="1" s="1"/>
  <c r="S296" i="1" s="1"/>
  <c r="U296" i="1" s="1"/>
  <c r="J412" i="1"/>
  <c r="R412" i="1" s="1"/>
  <c r="U412" i="1" s="1"/>
  <c r="J411" i="1"/>
  <c r="J410" i="1"/>
  <c r="J409" i="1"/>
  <c r="U408" i="1"/>
  <c r="J408" i="1"/>
  <c r="U407" i="1"/>
  <c r="J407" i="1"/>
  <c r="J405" i="1"/>
  <c r="R405" i="1" s="1"/>
  <c r="U405" i="1" s="1"/>
  <c r="I404" i="1"/>
  <c r="I403" i="1"/>
  <c r="J403" i="1" s="1"/>
  <c r="J402" i="1"/>
  <c r="J401" i="1"/>
  <c r="I400" i="1"/>
  <c r="J400" i="1" s="1"/>
  <c r="R400" i="1" s="1"/>
  <c r="U400" i="1" s="1"/>
  <c r="J398" i="1"/>
  <c r="R398" i="1" s="1"/>
  <c r="U398" i="1" s="1"/>
  <c r="J397" i="1"/>
  <c r="R397" i="1" s="1"/>
  <c r="U397" i="1" s="1"/>
  <c r="I396" i="1"/>
  <c r="J396" i="1" s="1"/>
  <c r="I395" i="1"/>
  <c r="J395" i="1" s="1"/>
  <c r="I394" i="1"/>
  <c r="J394" i="1" s="1"/>
  <c r="J393" i="1"/>
  <c r="R393" i="1" s="1"/>
  <c r="U393" i="1" s="1"/>
  <c r="I392" i="1"/>
  <c r="J392" i="1" s="1"/>
  <c r="J391" i="1"/>
  <c r="R391" i="1" s="1"/>
  <c r="U391" i="1" s="1"/>
  <c r="J390" i="1"/>
  <c r="R390" i="1" s="1"/>
  <c r="U390" i="1" s="1"/>
  <c r="I389" i="1"/>
  <c r="I388" i="1"/>
  <c r="J388" i="1" s="1"/>
  <c r="R388" i="1" s="1"/>
  <c r="U388" i="1" s="1"/>
  <c r="J387" i="1"/>
  <c r="J386" i="1"/>
  <c r="J385" i="1"/>
  <c r="J384" i="1"/>
  <c r="J383" i="1"/>
  <c r="J382" i="1"/>
  <c r="K381" i="1"/>
  <c r="J381" i="1"/>
  <c r="K380" i="1"/>
  <c r="J380" i="1"/>
  <c r="N380" i="1" s="1"/>
  <c r="J379" i="1"/>
  <c r="R379" i="1" s="1"/>
  <c r="U379" i="1" s="1"/>
  <c r="J378" i="1"/>
  <c r="R378" i="1" s="1"/>
  <c r="U378" i="1" s="1"/>
  <c r="I377" i="1"/>
  <c r="J377" i="1" s="1"/>
  <c r="J297" i="1"/>
  <c r="R297" i="1" s="1"/>
  <c r="U297" i="1" s="1"/>
  <c r="J375" i="1"/>
  <c r="J374" i="1"/>
  <c r="J373" i="1"/>
  <c r="J372" i="1"/>
  <c r="J371" i="1"/>
  <c r="R371" i="1" s="1"/>
  <c r="U371" i="1" s="1"/>
  <c r="J370" i="1"/>
  <c r="R370" i="1" s="1"/>
  <c r="U370" i="1" s="1"/>
  <c r="J369" i="1"/>
  <c r="R369" i="1" s="1"/>
  <c r="U369" i="1" s="1"/>
  <c r="J368" i="1"/>
  <c r="R368" i="1" s="1"/>
  <c r="U368" i="1" s="1"/>
  <c r="I367" i="1"/>
  <c r="J366" i="1"/>
  <c r="J365" i="1"/>
  <c r="R365" i="1" s="1"/>
  <c r="U365" i="1" s="1"/>
  <c r="J364" i="1"/>
  <c r="R364" i="1" s="1"/>
  <c r="U364" i="1" s="1"/>
  <c r="J363" i="1"/>
  <c r="K362" i="1"/>
  <c r="J362" i="1"/>
  <c r="N362" i="1" s="1"/>
  <c r="K361" i="1"/>
  <c r="J361" i="1"/>
  <c r="R361" i="1" s="1"/>
  <c r="U361" i="1" s="1"/>
  <c r="K360" i="1"/>
  <c r="J360" i="1"/>
  <c r="R360" i="1" s="1"/>
  <c r="U360" i="1" s="1"/>
  <c r="K359" i="1"/>
  <c r="J359" i="1"/>
  <c r="N359" i="1" s="1"/>
  <c r="K358" i="1"/>
  <c r="J358" i="1"/>
  <c r="R358" i="1" s="1"/>
  <c r="U358" i="1" s="1"/>
  <c r="K357" i="1"/>
  <c r="J357" i="1"/>
  <c r="R357" i="1" s="1"/>
  <c r="U357" i="1" s="1"/>
  <c r="K356" i="1"/>
  <c r="J356" i="1"/>
  <c r="N356" i="1" s="1"/>
  <c r="I355" i="1"/>
  <c r="J355" i="1" s="1"/>
  <c r="K354" i="1"/>
  <c r="J354" i="1"/>
  <c r="R354" i="1" s="1"/>
  <c r="U354" i="1" s="1"/>
  <c r="J353" i="1"/>
  <c r="K352" i="1"/>
  <c r="J352" i="1"/>
  <c r="N352" i="1" s="1"/>
  <c r="K351" i="1"/>
  <c r="J351" i="1"/>
  <c r="N351" i="1" s="1"/>
  <c r="J350" i="1"/>
  <c r="J348" i="1"/>
  <c r="J347" i="1"/>
  <c r="J346" i="1"/>
  <c r="J345" i="1"/>
  <c r="J344" i="1"/>
  <c r="J343" i="1"/>
  <c r="J342" i="1"/>
  <c r="J341" i="1"/>
  <c r="J340" i="1"/>
  <c r="J339" i="1"/>
  <c r="J338" i="1"/>
  <c r="K337" i="1"/>
  <c r="J337" i="1"/>
  <c r="N337" i="1" s="1"/>
  <c r="J336" i="1"/>
  <c r="J335" i="1"/>
  <c r="J334" i="1"/>
  <c r="K333" i="1"/>
  <c r="J333" i="1"/>
  <c r="N333" i="1" s="1"/>
  <c r="K332" i="1"/>
  <c r="J332" i="1"/>
  <c r="N332" i="1" s="1"/>
  <c r="K331" i="1"/>
  <c r="J331" i="1"/>
  <c r="N331" i="1" s="1"/>
  <c r="R331" i="1" s="1"/>
  <c r="K330" i="1"/>
  <c r="J330" i="1"/>
  <c r="N330" i="1" s="1"/>
  <c r="K329" i="1"/>
  <c r="J329" i="1"/>
  <c r="N329" i="1" s="1"/>
  <c r="I328" i="1"/>
  <c r="I327" i="1"/>
  <c r="J327" i="1" s="1"/>
  <c r="I326" i="1"/>
  <c r="J326" i="1" s="1"/>
  <c r="I325" i="1"/>
  <c r="J325" i="1" s="1"/>
  <c r="I324" i="1"/>
  <c r="J324" i="1" s="1"/>
  <c r="I323" i="1"/>
  <c r="J323" i="1" s="1"/>
  <c r="K322" i="1"/>
  <c r="J322" i="1"/>
  <c r="N322" i="1" s="1"/>
  <c r="R322" i="1" s="1"/>
  <c r="K321" i="1"/>
  <c r="J321" i="1"/>
  <c r="N321" i="1" s="1"/>
  <c r="K320" i="1"/>
  <c r="J320" i="1"/>
  <c r="N320" i="1" s="1"/>
  <c r="K319" i="1"/>
  <c r="J319" i="1"/>
  <c r="N319" i="1" s="1"/>
  <c r="K318" i="1"/>
  <c r="J318" i="1"/>
  <c r="N318" i="1" s="1"/>
  <c r="K317" i="1"/>
  <c r="J317" i="1"/>
  <c r="N317" i="1" s="1"/>
  <c r="K316" i="1"/>
  <c r="J316" i="1"/>
  <c r="N316" i="1" s="1"/>
  <c r="I314" i="1"/>
  <c r="I313" i="1"/>
  <c r="I312" i="1"/>
  <c r="I311" i="1"/>
  <c r="I310" i="1"/>
  <c r="I309" i="1"/>
  <c r="K417" i="1"/>
  <c r="J417" i="1"/>
  <c r="R417" i="1" s="1"/>
  <c r="U417" i="1" s="1"/>
  <c r="J413" i="1"/>
  <c r="R413" i="1" s="1"/>
  <c r="U413" i="1" s="1"/>
  <c r="J376" i="1"/>
  <c r="R376" i="1" s="1"/>
  <c r="U376" i="1" s="1"/>
  <c r="J349" i="1"/>
  <c r="R349" i="1" s="1"/>
  <c r="U349" i="1" s="1"/>
  <c r="J308" i="1"/>
  <c r="R308" i="1" s="1"/>
  <c r="U308" i="1" s="1"/>
  <c r="J298" i="1"/>
  <c r="R298" i="1" s="1"/>
  <c r="U298" i="1" s="1"/>
  <c r="J299" i="1"/>
  <c r="R299" i="1" s="1"/>
  <c r="U299" i="1" s="1"/>
  <c r="U307" i="1"/>
  <c r="N307" i="1"/>
  <c r="K307" i="1"/>
  <c r="K306" i="1"/>
  <c r="J306" i="1"/>
  <c r="R306" i="1" s="1"/>
  <c r="U306" i="1" s="1"/>
  <c r="I305" i="1"/>
  <c r="I304" i="1"/>
  <c r="J304" i="1" s="1"/>
  <c r="J301" i="1"/>
  <c r="R301" i="1" s="1"/>
  <c r="U301" i="1" s="1"/>
  <c r="I303" i="1"/>
  <c r="J303" i="1" s="1"/>
  <c r="R303" i="1" s="1"/>
  <c r="U303" i="1" s="1"/>
  <c r="J302" i="1"/>
  <c r="R302" i="1" s="1"/>
  <c r="U302" i="1" s="1"/>
  <c r="I300" i="1"/>
  <c r="J294" i="1"/>
  <c r="R294" i="1" s="1"/>
  <c r="S294" i="1" s="1"/>
  <c r="U294" i="1" s="1"/>
  <c r="J293" i="1"/>
  <c r="R293" i="1" s="1"/>
  <c r="S293" i="1" s="1"/>
  <c r="U293" i="1" s="1"/>
  <c r="J292" i="1"/>
  <c r="R292" i="1" s="1"/>
  <c r="S292" i="1" s="1"/>
  <c r="U292" i="1" s="1"/>
  <c r="J291" i="1"/>
  <c r="R291" i="1" s="1"/>
  <c r="S291" i="1" s="1"/>
  <c r="U291" i="1" s="1"/>
  <c r="J290" i="1"/>
  <c r="R290" i="1" s="1"/>
  <c r="S290" i="1" s="1"/>
  <c r="U290" i="1" s="1"/>
  <c r="J289" i="1"/>
  <c r="R289" i="1" s="1"/>
  <c r="U289" i="1" s="1"/>
  <c r="I288" i="1"/>
  <c r="J287" i="1"/>
  <c r="R287" i="1" s="1"/>
  <c r="S287" i="1" s="1"/>
  <c r="U287" i="1" s="1"/>
  <c r="J286" i="1"/>
  <c r="R286" i="1" s="1"/>
  <c r="S286" i="1" s="1"/>
  <c r="U286" i="1" s="1"/>
  <c r="J285" i="1"/>
  <c r="R285" i="1" s="1"/>
  <c r="J284" i="1"/>
  <c r="R284" i="1" s="1"/>
  <c r="U284" i="1" s="1"/>
  <c r="J283" i="1"/>
  <c r="R283" i="1" s="1"/>
  <c r="S283" i="1" s="1"/>
  <c r="U283" i="1" s="1"/>
  <c r="J282" i="1"/>
  <c r="R282" i="1" s="1"/>
  <c r="S282" i="1" s="1"/>
  <c r="U282" i="1" s="1"/>
  <c r="J281" i="1"/>
  <c r="R281" i="1" s="1"/>
  <c r="S281" i="1" s="1"/>
  <c r="U281" i="1" s="1"/>
  <c r="K280" i="1"/>
  <c r="J280" i="1"/>
  <c r="N280" i="1" s="1"/>
  <c r="K279" i="1"/>
  <c r="J279" i="1"/>
  <c r="N279" i="1" s="1"/>
  <c r="K278" i="1"/>
  <c r="J278" i="1"/>
  <c r="N278" i="1" s="1"/>
  <c r="K277" i="1"/>
  <c r="J277" i="1"/>
  <c r="N277" i="1" s="1"/>
  <c r="I276" i="1"/>
  <c r="K274" i="1"/>
  <c r="J274" i="1"/>
  <c r="N274" i="1" s="1"/>
  <c r="I267" i="1"/>
  <c r="I266" i="1"/>
  <c r="I265" i="1"/>
  <c r="K265" i="1" s="1"/>
  <c r="I264" i="1"/>
  <c r="J264" i="1" s="1"/>
  <c r="N264" i="1" s="1"/>
  <c r="K263" i="1"/>
  <c r="J263" i="1"/>
  <c r="N263" i="1" s="1"/>
  <c r="I259" i="1"/>
  <c r="K257" i="1"/>
  <c r="J257" i="1"/>
  <c r="N257" i="1" s="1"/>
  <c r="I255" i="1"/>
  <c r="J255" i="1" s="1"/>
  <c r="I254" i="1"/>
  <c r="J254" i="1" s="1"/>
  <c r="N254" i="1" s="1"/>
  <c r="I253" i="1"/>
  <c r="K253" i="1" s="1"/>
  <c r="K250" i="1"/>
  <c r="J250" i="1"/>
  <c r="N250" i="1" s="1"/>
  <c r="I248" i="1"/>
  <c r="J248" i="1" s="1"/>
  <c r="K247" i="1"/>
  <c r="J247" i="1"/>
  <c r="N247" i="1" s="1"/>
  <c r="I246" i="1"/>
  <c r="K246" i="1" s="1"/>
  <c r="I245" i="1"/>
  <c r="K245" i="1" s="1"/>
  <c r="I243" i="1"/>
  <c r="I241" i="1"/>
  <c r="J241" i="1" s="1"/>
  <c r="I240" i="1"/>
  <c r="K238" i="1"/>
  <c r="J238" i="1"/>
  <c r="N238" i="1" s="1"/>
  <c r="K237" i="1"/>
  <c r="J237" i="1"/>
  <c r="N237" i="1" s="1"/>
  <c r="K235" i="1"/>
  <c r="J235" i="1"/>
  <c r="N235" i="1" s="1"/>
  <c r="K234" i="1"/>
  <c r="J234" i="1"/>
  <c r="N234" i="1" s="1"/>
  <c r="K233" i="1"/>
  <c r="J233" i="1"/>
  <c r="N233" i="1" s="1"/>
  <c r="K232" i="1"/>
  <c r="J232" i="1"/>
  <c r="N232" i="1" s="1"/>
  <c r="K231" i="1"/>
  <c r="J231" i="1"/>
  <c r="N231" i="1" s="1"/>
  <c r="K230" i="1"/>
  <c r="J230" i="1"/>
  <c r="N230" i="1" s="1"/>
  <c r="K229" i="1"/>
  <c r="J229" i="1"/>
  <c r="N229" i="1" s="1"/>
  <c r="R229" i="1" s="1"/>
  <c r="S229" i="1" s="1"/>
  <c r="K228" i="1"/>
  <c r="J228" i="1"/>
  <c r="N228" i="1" s="1"/>
  <c r="K227" i="1"/>
  <c r="J227" i="1"/>
  <c r="N227" i="1" s="1"/>
  <c r="K226" i="1"/>
  <c r="J226" i="1"/>
  <c r="N226" i="1" s="1"/>
  <c r="S226" i="1" s="1"/>
  <c r="K225" i="1"/>
  <c r="J225" i="1"/>
  <c r="N225" i="1" s="1"/>
  <c r="K224" i="1"/>
  <c r="J224" i="1"/>
  <c r="N224" i="1" s="1"/>
  <c r="K223" i="1"/>
  <c r="J223" i="1"/>
  <c r="N223" i="1" s="1"/>
  <c r="K222" i="1"/>
  <c r="J222" i="1"/>
  <c r="N222" i="1" s="1"/>
  <c r="K221" i="1"/>
  <c r="J221" i="1"/>
  <c r="N221" i="1" s="1"/>
  <c r="K220" i="1"/>
  <c r="J220" i="1"/>
  <c r="N220" i="1" s="1"/>
  <c r="K219" i="1"/>
  <c r="J219" i="1"/>
  <c r="N219" i="1" s="1"/>
  <c r="K218" i="1"/>
  <c r="J218" i="1"/>
  <c r="N218" i="1" s="1"/>
  <c r="K217" i="1"/>
  <c r="J217" i="1"/>
  <c r="N217" i="1" s="1"/>
  <c r="K216" i="1"/>
  <c r="J216" i="1"/>
  <c r="N216" i="1" s="1"/>
  <c r="K215" i="1"/>
  <c r="J215" i="1"/>
  <c r="N215" i="1" s="1"/>
  <c r="K214" i="1"/>
  <c r="J214" i="1"/>
  <c r="N214" i="1" s="1"/>
  <c r="K213" i="1"/>
  <c r="J213" i="1"/>
  <c r="N213" i="1" s="1"/>
  <c r="K212" i="1"/>
  <c r="J212" i="1"/>
  <c r="N212" i="1" s="1"/>
  <c r="K211" i="1"/>
  <c r="J211" i="1"/>
  <c r="N211" i="1" s="1"/>
  <c r="K210" i="1"/>
  <c r="J210" i="1"/>
  <c r="N210" i="1" s="1"/>
  <c r="K209" i="1"/>
  <c r="J209" i="1"/>
  <c r="N209" i="1" s="1"/>
  <c r="K208" i="1"/>
  <c r="J208" i="1"/>
  <c r="N208" i="1" s="1"/>
  <c r="K207" i="1"/>
  <c r="J207" i="1"/>
  <c r="N207" i="1" s="1"/>
  <c r="R207" i="1" s="1"/>
  <c r="S207" i="1" s="1"/>
  <c r="K206" i="1"/>
  <c r="J206" i="1"/>
  <c r="N206" i="1" s="1"/>
  <c r="K205" i="1"/>
  <c r="J205" i="1"/>
  <c r="N205" i="1" s="1"/>
  <c r="K204" i="1"/>
  <c r="J204" i="1"/>
  <c r="N204" i="1" s="1"/>
  <c r="K203" i="1"/>
  <c r="J203" i="1"/>
  <c r="N203" i="1" s="1"/>
  <c r="K202" i="1"/>
  <c r="J202" i="1"/>
  <c r="N202" i="1" s="1"/>
  <c r="K201" i="1"/>
  <c r="J201" i="1"/>
  <c r="N201" i="1" s="1"/>
  <c r="K200" i="1"/>
  <c r="J200" i="1"/>
  <c r="N200" i="1" s="1"/>
  <c r="K199" i="1"/>
  <c r="J199" i="1"/>
  <c r="N199" i="1" s="1"/>
  <c r="S199" i="1" s="1"/>
  <c r="K198" i="1"/>
  <c r="J198" i="1"/>
  <c r="S198" i="1" s="1"/>
  <c r="K197" i="1"/>
  <c r="J197" i="1"/>
  <c r="S197" i="1" s="1"/>
  <c r="K196" i="1"/>
  <c r="J196" i="1"/>
  <c r="N196" i="1" s="1"/>
  <c r="K195" i="1"/>
  <c r="J195" i="1"/>
  <c r="N195" i="1" s="1"/>
  <c r="R195" i="1" s="1"/>
  <c r="S195" i="1" s="1"/>
  <c r="R194" i="1"/>
  <c r="S194" i="1" s="1"/>
  <c r="U194" i="1" s="1"/>
  <c r="J193" i="1"/>
  <c r="R193" i="1" s="1"/>
  <c r="S193" i="1" s="1"/>
  <c r="U193" i="1" s="1"/>
  <c r="J192" i="1"/>
  <c r="R192" i="1" s="1"/>
  <c r="S192" i="1" s="1"/>
  <c r="U192" i="1" s="1"/>
  <c r="J191" i="1"/>
  <c r="R191" i="1" s="1"/>
  <c r="S191" i="1" s="1"/>
  <c r="U191" i="1" s="1"/>
  <c r="J190" i="1"/>
  <c r="R190" i="1" s="1"/>
  <c r="S190" i="1" s="1"/>
  <c r="U190" i="1" s="1"/>
  <c r="J189" i="1"/>
  <c r="R189" i="1" s="1"/>
  <c r="S189" i="1" s="1"/>
  <c r="U189" i="1" s="1"/>
  <c r="I188" i="1"/>
  <c r="I187" i="1"/>
  <c r="R187" i="1" s="1"/>
  <c r="I186" i="1"/>
  <c r="R186" i="1" s="1"/>
  <c r="I185" i="1"/>
  <c r="R185" i="1" s="1"/>
  <c r="I184" i="1"/>
  <c r="R184" i="1" s="1"/>
  <c r="J183" i="1"/>
  <c r="R183" i="1" s="1"/>
  <c r="S183" i="1" s="1"/>
  <c r="U183" i="1" s="1"/>
  <c r="J182" i="1"/>
  <c r="R182" i="1" s="1"/>
  <c r="S182" i="1" s="1"/>
  <c r="U182" i="1" s="1"/>
  <c r="J181" i="1"/>
  <c r="R181" i="1" s="1"/>
  <c r="U181" i="1" s="1"/>
  <c r="J180" i="1"/>
  <c r="R180" i="1" s="1"/>
  <c r="S180" i="1" s="1"/>
  <c r="U180" i="1" s="1"/>
  <c r="I179" i="1"/>
  <c r="J179" i="1" s="1"/>
  <c r="R179" i="1" s="1"/>
  <c r="S179" i="1" s="1"/>
  <c r="U179" i="1" s="1"/>
  <c r="I178" i="1"/>
  <c r="I177" i="1"/>
  <c r="I176" i="1"/>
  <c r="J176" i="1" s="1"/>
  <c r="R176" i="1" s="1"/>
  <c r="S176" i="1" s="1"/>
  <c r="U176" i="1" s="1"/>
  <c r="I175" i="1"/>
  <c r="I174" i="1"/>
  <c r="R174" i="1" s="1"/>
  <c r="J173" i="1"/>
  <c r="R173" i="1" s="1"/>
  <c r="S173" i="1" s="1"/>
  <c r="U173" i="1" s="1"/>
  <c r="J172" i="1"/>
  <c r="R172" i="1" s="1"/>
  <c r="S172" i="1" s="1"/>
  <c r="U172" i="1" s="1"/>
  <c r="I171" i="1"/>
  <c r="J171" i="1" s="1"/>
  <c r="R171" i="1" s="1"/>
  <c r="U171" i="1" s="1"/>
  <c r="I170" i="1"/>
  <c r="J170" i="1" s="1"/>
  <c r="R170" i="1" s="1"/>
  <c r="S170" i="1" s="1"/>
  <c r="U170" i="1" s="1"/>
  <c r="I169" i="1"/>
  <c r="J168" i="1"/>
  <c r="R168" i="1" s="1"/>
  <c r="S168" i="1" s="1"/>
  <c r="U168" i="1" s="1"/>
  <c r="J167" i="1"/>
  <c r="R167" i="1" s="1"/>
  <c r="S167" i="1" s="1"/>
  <c r="U167" i="1" s="1"/>
  <c r="J166" i="1"/>
  <c r="R166" i="1" s="1"/>
  <c r="S166" i="1" s="1"/>
  <c r="U166" i="1" s="1"/>
  <c r="S165" i="1"/>
  <c r="I165" i="1"/>
  <c r="J165" i="1" s="1"/>
  <c r="R165" i="1" s="1"/>
  <c r="J164" i="1"/>
  <c r="R164" i="1" s="1"/>
  <c r="S164" i="1" s="1"/>
  <c r="U164" i="1" s="1"/>
  <c r="I163" i="1"/>
  <c r="I162" i="1"/>
  <c r="J162" i="1" s="1"/>
  <c r="J161" i="1"/>
  <c r="R161" i="1" s="1"/>
  <c r="S161" i="1" s="1"/>
  <c r="U161" i="1" s="1"/>
  <c r="J160" i="1"/>
  <c r="R160" i="1" s="1"/>
  <c r="S160" i="1" s="1"/>
  <c r="U160" i="1" s="1"/>
  <c r="J159" i="1"/>
  <c r="R159" i="1" s="1"/>
  <c r="S159" i="1" s="1"/>
  <c r="U159" i="1" s="1"/>
  <c r="J158" i="1"/>
  <c r="R158" i="1" s="1"/>
  <c r="S158" i="1" s="1"/>
  <c r="U158" i="1" s="1"/>
  <c r="I157" i="1"/>
  <c r="I156" i="1"/>
  <c r="J156" i="1" s="1"/>
  <c r="R156" i="1" s="1"/>
  <c r="U156" i="1" s="1"/>
  <c r="I155" i="1"/>
  <c r="J155" i="1" s="1"/>
  <c r="I154" i="1"/>
  <c r="I153" i="1"/>
  <c r="I152" i="1"/>
  <c r="J152" i="1" s="1"/>
  <c r="R152" i="1" s="1"/>
  <c r="S152" i="1" s="1"/>
  <c r="U152" i="1" s="1"/>
  <c r="J151" i="1"/>
  <c r="R151" i="1" s="1"/>
  <c r="S151" i="1" s="1"/>
  <c r="U151" i="1" s="1"/>
  <c r="I150" i="1"/>
  <c r="J150" i="1" s="1"/>
  <c r="I149" i="1"/>
  <c r="J149" i="1" s="1"/>
  <c r="J148" i="1"/>
  <c r="R148" i="1" s="1"/>
  <c r="U148" i="1" s="1"/>
  <c r="J147" i="1"/>
  <c r="R147" i="1" s="1"/>
  <c r="S147" i="1" s="1"/>
  <c r="U147" i="1" s="1"/>
  <c r="I146" i="1"/>
  <c r="I145" i="1"/>
  <c r="J145" i="1" s="1"/>
  <c r="R145" i="1" s="1"/>
  <c r="S145" i="1" s="1"/>
  <c r="U145" i="1" s="1"/>
  <c r="J144" i="1"/>
  <c r="R144" i="1" s="1"/>
  <c r="S144" i="1" s="1"/>
  <c r="U144" i="1" s="1"/>
  <c r="J143" i="1"/>
  <c r="R143" i="1" s="1"/>
  <c r="S143" i="1" s="1"/>
  <c r="U143" i="1" s="1"/>
  <c r="I142" i="1"/>
  <c r="S141" i="1"/>
  <c r="J141" i="1"/>
  <c r="R141" i="1" s="1"/>
  <c r="R140" i="1"/>
  <c r="S140" i="1" s="1"/>
  <c r="R139" i="1"/>
  <c r="S139" i="1" s="1"/>
  <c r="R138" i="1"/>
  <c r="S138" i="1" s="1"/>
  <c r="R137" i="1"/>
  <c r="S137" i="1" s="1"/>
  <c r="R136" i="1"/>
  <c r="R135" i="1"/>
  <c r="R134" i="1"/>
  <c r="R133" i="1"/>
  <c r="I132" i="1"/>
  <c r="I129" i="1"/>
  <c r="R128" i="1"/>
  <c r="S128" i="1" s="1"/>
  <c r="R127" i="1"/>
  <c r="S127" i="1" s="1"/>
  <c r="R126" i="1"/>
  <c r="S126" i="1" s="1"/>
  <c r="R125" i="1"/>
  <c r="S125" i="1" s="1"/>
  <c r="R124" i="1"/>
  <c r="S124" i="1" s="1"/>
  <c r="J121" i="1"/>
  <c r="R121" i="1" s="1"/>
  <c r="I120" i="1"/>
  <c r="I119" i="1"/>
  <c r="I118" i="1"/>
  <c r="R117" i="1"/>
  <c r="S117" i="1" s="1"/>
  <c r="R116" i="1"/>
  <c r="S116" i="1" s="1"/>
  <c r="R115" i="1"/>
  <c r="S115" i="1" s="1"/>
  <c r="R114" i="1"/>
  <c r="S114" i="1" s="1"/>
  <c r="I110" i="1"/>
  <c r="J110" i="1" s="1"/>
  <c r="K109" i="1"/>
  <c r="J109" i="1"/>
  <c r="N109" i="1" s="1"/>
  <c r="I108" i="1"/>
  <c r="K108" i="1" s="1"/>
  <c r="I107" i="1"/>
  <c r="K107" i="1" s="1"/>
  <c r="I105" i="1"/>
  <c r="R105" i="1" s="1"/>
  <c r="S105" i="1" s="1"/>
  <c r="R104" i="1"/>
  <c r="S104" i="1" s="1"/>
  <c r="I103" i="1"/>
  <c r="R103" i="1" s="1"/>
  <c r="S103" i="1" s="1"/>
  <c r="R102" i="1"/>
  <c r="S102" i="1" s="1"/>
  <c r="R97" i="1"/>
  <c r="S97" i="1" s="1"/>
  <c r="R96" i="1"/>
  <c r="S96" i="1" s="1"/>
  <c r="I95" i="1"/>
  <c r="I93" i="1"/>
  <c r="I92" i="1"/>
  <c r="I91" i="1"/>
  <c r="R88" i="1"/>
  <c r="I87" i="1"/>
  <c r="I86" i="1"/>
  <c r="I80" i="1"/>
  <c r="K80" i="1" s="1"/>
  <c r="I79" i="1"/>
  <c r="K77" i="1"/>
  <c r="J77" i="1"/>
  <c r="N77" i="1" s="1"/>
  <c r="J70" i="1"/>
  <c r="J69" i="1"/>
  <c r="K68" i="1"/>
  <c r="J68" i="1"/>
  <c r="N68" i="1" s="1"/>
  <c r="K67" i="1"/>
  <c r="J67" i="1"/>
  <c r="N67" i="1" s="1"/>
  <c r="K66" i="1"/>
  <c r="J66" i="1"/>
  <c r="N66" i="1" s="1"/>
  <c r="K65" i="1"/>
  <c r="J65" i="1"/>
  <c r="N65" i="1" s="1"/>
  <c r="K64" i="1"/>
  <c r="J64" i="1"/>
  <c r="N64" i="1" s="1"/>
  <c r="I63" i="1"/>
  <c r="K63" i="1" s="1"/>
  <c r="I62" i="1"/>
  <c r="I61" i="1"/>
  <c r="K61" i="1" s="1"/>
  <c r="I60" i="1"/>
  <c r="J60" i="1" s="1"/>
  <c r="N60" i="1" s="1"/>
  <c r="K59" i="1"/>
  <c r="J59" i="1"/>
  <c r="N59" i="1" s="1"/>
  <c r="K58" i="1"/>
  <c r="J58" i="1"/>
  <c r="N58" i="1" s="1"/>
  <c r="K57" i="1"/>
  <c r="J57" i="1"/>
  <c r="N57" i="1" s="1"/>
  <c r="I56" i="1"/>
  <c r="K56" i="1" s="1"/>
  <c r="K55" i="1"/>
  <c r="J55" i="1"/>
  <c r="N55" i="1" s="1"/>
  <c r="K53" i="1"/>
  <c r="J53" i="1"/>
  <c r="N53" i="1" s="1"/>
  <c r="K52" i="1"/>
  <c r="J52" i="1"/>
  <c r="N52" i="1" s="1"/>
  <c r="K51" i="1"/>
  <c r="J51" i="1"/>
  <c r="N51" i="1" s="1"/>
  <c r="K50" i="1"/>
  <c r="J50" i="1"/>
  <c r="N50" i="1" s="1"/>
  <c r="I49" i="1"/>
  <c r="I48" i="1"/>
  <c r="K48" i="1" s="1"/>
  <c r="I47" i="1"/>
  <c r="I46" i="1"/>
  <c r="I45" i="1"/>
  <c r="J45" i="1" s="1"/>
  <c r="N45" i="1" s="1"/>
  <c r="I44" i="1"/>
  <c r="J44" i="1" s="1"/>
  <c r="N44" i="1" s="1"/>
  <c r="I43" i="1"/>
  <c r="K42" i="1"/>
  <c r="J42" i="1"/>
  <c r="N42" i="1" s="1"/>
  <c r="K41" i="1"/>
  <c r="J41" i="1"/>
  <c r="N41" i="1" s="1"/>
  <c r="K40" i="1"/>
  <c r="J40" i="1"/>
  <c r="N40" i="1" s="1"/>
  <c r="K39" i="1"/>
  <c r="J39" i="1"/>
  <c r="N39" i="1" s="1"/>
  <c r="I38" i="1"/>
  <c r="K37" i="1"/>
  <c r="J37" i="1"/>
  <c r="N37" i="1" s="1"/>
  <c r="K36" i="1"/>
  <c r="J36" i="1"/>
  <c r="N36" i="1" s="1"/>
  <c r="K35" i="1"/>
  <c r="J35" i="1"/>
  <c r="N35" i="1" s="1"/>
  <c r="K34" i="1"/>
  <c r="J34" i="1"/>
  <c r="N34" i="1" s="1"/>
  <c r="K33" i="1"/>
  <c r="J33" i="1"/>
  <c r="N33" i="1" s="1"/>
  <c r="K32" i="1"/>
  <c r="J32" i="1"/>
  <c r="N32" i="1" s="1"/>
  <c r="K31" i="1"/>
  <c r="J31" i="1"/>
  <c r="N31" i="1" s="1"/>
  <c r="K30" i="1"/>
  <c r="J30" i="1"/>
  <c r="N30" i="1" s="1"/>
  <c r="K29" i="1"/>
  <c r="J29" i="1"/>
  <c r="N29" i="1" s="1"/>
  <c r="K28" i="1"/>
  <c r="J28" i="1"/>
  <c r="N28" i="1" s="1"/>
  <c r="K27" i="1"/>
  <c r="J27" i="1"/>
  <c r="N27" i="1" s="1"/>
  <c r="K26" i="1"/>
  <c r="J26" i="1"/>
  <c r="N26" i="1" s="1"/>
  <c r="K25" i="1"/>
  <c r="J25" i="1"/>
  <c r="N25" i="1" s="1"/>
  <c r="K24" i="1"/>
  <c r="J24" i="1"/>
  <c r="N24" i="1" s="1"/>
  <c r="X23" i="1"/>
  <c r="K23" i="1"/>
  <c r="J23" i="1"/>
  <c r="N23" i="1" s="1"/>
  <c r="K22" i="1"/>
  <c r="J22" i="1"/>
  <c r="N22" i="1" s="1"/>
  <c r="K21" i="1"/>
  <c r="J21" i="1"/>
  <c r="N21" i="1" s="1"/>
  <c r="K20" i="1"/>
  <c r="J20" i="1"/>
  <c r="N20" i="1" s="1"/>
  <c r="K19" i="1"/>
  <c r="J19" i="1"/>
  <c r="N19" i="1" s="1"/>
  <c r="K18" i="1"/>
  <c r="J18" i="1"/>
  <c r="N18" i="1" s="1"/>
  <c r="K17" i="1"/>
  <c r="J17" i="1"/>
  <c r="N17" i="1" s="1"/>
  <c r="K16" i="1"/>
  <c r="J16" i="1"/>
  <c r="N16" i="1" s="1"/>
  <c r="K15" i="1"/>
  <c r="J15" i="1"/>
  <c r="N15" i="1" s="1"/>
  <c r="K14" i="1"/>
  <c r="J14" i="1"/>
  <c r="N14" i="1" s="1"/>
  <c r="K13" i="1"/>
  <c r="J13" i="1"/>
  <c r="N13" i="1" s="1"/>
  <c r="K12" i="1"/>
  <c r="J12" i="1"/>
  <c r="N12" i="1" s="1"/>
  <c r="K11" i="1"/>
  <c r="J11" i="1"/>
  <c r="N11" i="1" s="1"/>
  <c r="K10" i="1"/>
  <c r="J10" i="1"/>
  <c r="N10" i="1" s="1"/>
  <c r="K9" i="1"/>
  <c r="J9" i="1"/>
  <c r="N9" i="1" s="1"/>
  <c r="K8" i="1"/>
  <c r="J8" i="1"/>
  <c r="N8" i="1" s="1"/>
  <c r="K7" i="1"/>
  <c r="J7" i="1"/>
  <c r="N7" i="1" s="1"/>
  <c r="R7" i="1" s="1"/>
  <c r="K6" i="1"/>
  <c r="J6" i="1"/>
  <c r="N6" i="1" s="1"/>
  <c r="K5" i="1"/>
  <c r="J5" i="1"/>
  <c r="N5" i="1" s="1"/>
  <c r="K4" i="1"/>
  <c r="J4" i="1"/>
  <c r="N4" i="1" s="1"/>
  <c r="N3" i="1"/>
  <c r="R3" i="1" s="1"/>
  <c r="R2" i="1"/>
  <c r="V503" i="3"/>
  <c r="G571" i="3"/>
  <c r="G552" i="3"/>
  <c r="G502" i="3"/>
  <c r="V502" i="3" s="1"/>
  <c r="G501" i="3"/>
  <c r="V501" i="3" s="1"/>
  <c r="G551" i="3"/>
  <c r="G550" i="3"/>
  <c r="G500" i="3"/>
  <c r="G549" i="3"/>
  <c r="G548" i="3"/>
  <c r="G499" i="3"/>
  <c r="V499" i="3" s="1"/>
  <c r="G498" i="3"/>
  <c r="V498" i="3" s="1"/>
  <c r="G547" i="3"/>
  <c r="G546" i="3"/>
  <c r="H544" i="3"/>
  <c r="V544" i="3" s="1"/>
  <c r="H543" i="3"/>
  <c r="V543" i="3" s="1"/>
  <c r="G542" i="3"/>
  <c r="G497" i="3"/>
  <c r="H541" i="3"/>
  <c r="V541" i="3" s="1"/>
  <c r="H540" i="3"/>
  <c r="V540" i="3" s="1"/>
  <c r="H539" i="3"/>
  <c r="V539" i="3" s="1"/>
  <c r="H496" i="3"/>
  <c r="V496" i="3" s="1"/>
  <c r="H534" i="3"/>
  <c r="V534" i="3" s="1"/>
  <c r="H525" i="3"/>
  <c r="V525" i="3" s="1"/>
  <c r="H524" i="3"/>
  <c r="V524" i="3" s="1"/>
  <c r="H493" i="3"/>
  <c r="V493" i="3" s="1"/>
  <c r="H523" i="3"/>
  <c r="V523" i="3" s="1"/>
  <c r="H522" i="3"/>
  <c r="V522" i="3" s="1"/>
  <c r="H518" i="3"/>
  <c r="V518" i="3" s="1"/>
  <c r="G517" i="3"/>
  <c r="H517" i="3" s="1"/>
  <c r="V517" i="3" s="1"/>
  <c r="H516" i="3"/>
  <c r="V516" i="3" s="1"/>
  <c r="H515" i="3"/>
  <c r="V515" i="3" s="1"/>
  <c r="H507" i="3"/>
  <c r="V507" i="3" s="1"/>
  <c r="H506" i="3"/>
  <c r="V506" i="3" s="1"/>
  <c r="I514" i="3"/>
  <c r="H514" i="3"/>
  <c r="H505" i="3"/>
  <c r="V505" i="3" s="1"/>
  <c r="H504" i="3"/>
  <c r="V504" i="3" s="1"/>
  <c r="I513" i="3"/>
  <c r="H513" i="3"/>
  <c r="P513" i="3" s="1"/>
  <c r="H512" i="3"/>
  <c r="V512" i="3" s="1"/>
  <c r="I509" i="3"/>
  <c r="H509" i="3"/>
  <c r="P509" i="3" s="1"/>
  <c r="I508" i="3"/>
  <c r="H508" i="3"/>
  <c r="P508" i="3" s="1"/>
  <c r="G495" i="3"/>
  <c r="H495" i="3" s="1"/>
  <c r="V495" i="3" s="1"/>
  <c r="H494" i="3"/>
  <c r="V494" i="3" s="1"/>
  <c r="H492" i="3"/>
  <c r="V492" i="3" s="1"/>
  <c r="W492" i="3" s="1"/>
  <c r="P491" i="3"/>
  <c r="H491" i="3"/>
  <c r="P490" i="3"/>
  <c r="H490" i="3"/>
  <c r="H488" i="3"/>
  <c r="V488" i="3" s="1"/>
  <c r="H487" i="3"/>
  <c r="V487" i="3" s="1"/>
  <c r="G486" i="3"/>
  <c r="H485" i="3"/>
  <c r="V485" i="3" s="1"/>
  <c r="W485" i="3" s="1"/>
  <c r="H484" i="3"/>
  <c r="V484" i="3" s="1"/>
  <c r="W484" i="3" s="1"/>
  <c r="H483" i="3"/>
  <c r="V483" i="3" s="1"/>
  <c r="W483" i="3" s="1"/>
  <c r="H482" i="3"/>
  <c r="V482" i="3" s="1"/>
  <c r="H481" i="3"/>
  <c r="V481" i="3" s="1"/>
  <c r="H480" i="3"/>
  <c r="V480" i="3" s="1"/>
  <c r="G479" i="3"/>
  <c r="P479" i="3" s="1"/>
  <c r="P478" i="3"/>
  <c r="H478" i="3"/>
  <c r="V478" i="3" s="1"/>
  <c r="G477" i="3"/>
  <c r="H477" i="3" s="1"/>
  <c r="G476" i="3"/>
  <c r="P475" i="3"/>
  <c r="P474" i="3"/>
  <c r="H474" i="3"/>
  <c r="V474" i="3" s="1"/>
  <c r="W474" i="3" s="1"/>
  <c r="G473" i="3"/>
  <c r="G472" i="3"/>
  <c r="P472" i="3" s="1"/>
  <c r="P471" i="3"/>
  <c r="H471" i="3"/>
  <c r="G470" i="3"/>
  <c r="H470" i="3" s="1"/>
  <c r="V470" i="3" s="1"/>
  <c r="G469" i="3"/>
  <c r="H469" i="3" s="1"/>
  <c r="H468" i="3"/>
  <c r="V468" i="3" s="1"/>
  <c r="H467" i="3"/>
  <c r="V467" i="3" s="1"/>
  <c r="W467" i="3" s="1"/>
  <c r="H465" i="3"/>
  <c r="V465" i="3" s="1"/>
  <c r="G464" i="3"/>
  <c r="I460" i="3"/>
  <c r="H460" i="3"/>
  <c r="H456" i="3"/>
  <c r="V456" i="3" s="1"/>
  <c r="H455" i="3"/>
  <c r="V455" i="3" s="1"/>
  <c r="G454" i="3"/>
  <c r="H454" i="3" s="1"/>
  <c r="H453" i="3"/>
  <c r="V453" i="3" s="1"/>
  <c r="W453" i="3" s="1"/>
  <c r="G445" i="3"/>
  <c r="H445" i="3" s="1"/>
  <c r="G444" i="3"/>
  <c r="I444" i="3" s="1"/>
  <c r="H440" i="3"/>
  <c r="V440" i="3" s="1"/>
  <c r="W440" i="3" s="1"/>
  <c r="W436" i="3"/>
  <c r="H436" i="3"/>
  <c r="V436" i="3" s="1"/>
  <c r="G433" i="3"/>
  <c r="I433" i="3" s="1"/>
  <c r="H431" i="3"/>
  <c r="V431" i="3" s="1"/>
  <c r="W431" i="3" s="1"/>
  <c r="H430" i="3"/>
  <c r="G430" i="3"/>
  <c r="H427" i="3"/>
  <c r="V427" i="3" s="1"/>
  <c r="W427" i="3" s="1"/>
  <c r="H426" i="3"/>
  <c r="V426" i="3" s="1"/>
  <c r="W426" i="3" s="1"/>
  <c r="G424" i="3"/>
  <c r="G423" i="3"/>
  <c r="M422" i="3"/>
  <c r="L422" i="3"/>
  <c r="I422" i="3"/>
  <c r="H422" i="3"/>
  <c r="V421" i="3"/>
  <c r="G420" i="3"/>
  <c r="G418" i="3"/>
  <c r="G417" i="3"/>
  <c r="G416" i="3"/>
  <c r="G415" i="3"/>
  <c r="G413" i="3"/>
  <c r="I412" i="3"/>
  <c r="H412" i="3"/>
  <c r="V412" i="3" s="1"/>
  <c r="Z412" i="3" s="1"/>
  <c r="Z411" i="3"/>
  <c r="G411" i="3"/>
  <c r="G410" i="3"/>
  <c r="I397" i="3"/>
  <c r="H397" i="3"/>
  <c r="P397" i="3" s="1"/>
  <c r="I396" i="3"/>
  <c r="H396" i="3"/>
  <c r="P396" i="3" s="1"/>
  <c r="Z395" i="3"/>
  <c r="I395" i="3"/>
  <c r="H395" i="3"/>
  <c r="I394" i="3"/>
  <c r="H394" i="3"/>
  <c r="V394" i="3" s="1"/>
  <c r="Z394" i="3" s="1"/>
  <c r="I393" i="3"/>
  <c r="H393" i="3"/>
  <c r="I392" i="3"/>
  <c r="H392" i="3"/>
  <c r="I390" i="3"/>
  <c r="H390" i="3"/>
  <c r="I389" i="3"/>
  <c r="H389" i="3"/>
  <c r="V389" i="3" s="1"/>
  <c r="I388" i="3"/>
  <c r="V388" i="3" s="1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M377" i="3"/>
  <c r="L377" i="3"/>
  <c r="I377" i="3"/>
  <c r="H377" i="3"/>
  <c r="I368" i="3"/>
  <c r="H368" i="3"/>
  <c r="I367" i="3"/>
  <c r="H367" i="3"/>
  <c r="P367" i="3" s="1"/>
  <c r="I366" i="3"/>
  <c r="H366" i="3"/>
  <c r="P366" i="3" s="1"/>
  <c r="G362" i="3"/>
  <c r="G361" i="3"/>
  <c r="G360" i="3"/>
  <c r="G359" i="3"/>
  <c r="I359" i="3" s="1"/>
  <c r="I354" i="3"/>
  <c r="H354" i="3"/>
  <c r="P354" i="3" s="1"/>
  <c r="K352" i="3"/>
  <c r="I352" i="3"/>
  <c r="M352" i="3" s="1"/>
  <c r="H352" i="3"/>
  <c r="P352" i="3" s="1"/>
  <c r="K351" i="3"/>
  <c r="I351" i="3"/>
  <c r="M351" i="3" s="1"/>
  <c r="H351" i="3"/>
  <c r="P351" i="3" s="1"/>
  <c r="G344" i="3"/>
  <c r="I340" i="3"/>
  <c r="H340" i="3"/>
  <c r="G334" i="3"/>
  <c r="I333" i="3"/>
  <c r="H333" i="3"/>
  <c r="P333" i="3" s="1"/>
  <c r="G331" i="3"/>
  <c r="H331" i="3" s="1"/>
  <c r="P331" i="3" s="1"/>
  <c r="I330" i="3"/>
  <c r="H330" i="3"/>
  <c r="P330" i="3" s="1"/>
  <c r="K328" i="3"/>
  <c r="I328" i="3"/>
  <c r="M328" i="3" s="1"/>
  <c r="H328" i="3"/>
  <c r="K327" i="3"/>
  <c r="I327" i="3"/>
  <c r="M327" i="3" s="1"/>
  <c r="H327" i="3"/>
  <c r="K326" i="3"/>
  <c r="I326" i="3"/>
  <c r="M326" i="3" s="1"/>
  <c r="H326" i="3"/>
  <c r="P326" i="3" s="1"/>
  <c r="I322" i="3"/>
  <c r="H322" i="3"/>
  <c r="I319" i="3"/>
  <c r="H319" i="3"/>
  <c r="P319" i="3" s="1"/>
  <c r="I318" i="3"/>
  <c r="H318" i="3"/>
  <c r="G318" i="3"/>
  <c r="I317" i="3"/>
  <c r="H317" i="3"/>
  <c r="P317" i="3" s="1"/>
  <c r="G316" i="3"/>
  <c r="I315" i="3"/>
  <c r="H315" i="3"/>
  <c r="P315" i="3" s="1"/>
  <c r="I314" i="3"/>
  <c r="H314" i="3"/>
  <c r="I313" i="3"/>
  <c r="H313" i="3"/>
  <c r="P313" i="3" s="1"/>
  <c r="I310" i="3"/>
  <c r="H310" i="3"/>
  <c r="P310" i="3" s="1"/>
  <c r="I307" i="3"/>
  <c r="H307" i="3"/>
  <c r="I306" i="3"/>
  <c r="H306" i="3"/>
  <c r="V306" i="3" s="1"/>
  <c r="I305" i="3"/>
  <c r="H305" i="3"/>
  <c r="P305" i="3" s="1"/>
  <c r="I304" i="3"/>
  <c r="H304" i="3"/>
  <c r="I303" i="3"/>
  <c r="H303" i="3"/>
  <c r="P303" i="3" s="1"/>
  <c r="I302" i="3"/>
  <c r="H302" i="3"/>
  <c r="I301" i="3"/>
  <c r="H301" i="3"/>
  <c r="P301" i="3" s="1"/>
  <c r="I300" i="3"/>
  <c r="H300" i="3"/>
  <c r="I299" i="3"/>
  <c r="H299" i="3"/>
  <c r="P299" i="3" s="1"/>
  <c r="I298" i="3"/>
  <c r="H298" i="3"/>
  <c r="I297" i="3"/>
  <c r="H297" i="3"/>
  <c r="I296" i="3"/>
  <c r="H296" i="3"/>
  <c r="V296" i="3" s="1"/>
  <c r="I295" i="3"/>
  <c r="H295" i="3"/>
  <c r="I294" i="3"/>
  <c r="H294" i="3"/>
  <c r="P293" i="3"/>
  <c r="I290" i="3"/>
  <c r="H290" i="3"/>
  <c r="P290" i="3" s="1"/>
  <c r="I289" i="3"/>
  <c r="H289" i="3"/>
  <c r="P289" i="3" s="1"/>
  <c r="G287" i="3"/>
  <c r="I287" i="3" s="1"/>
  <c r="I286" i="3"/>
  <c r="G286" i="3"/>
  <c r="H286" i="3" s="1"/>
  <c r="I285" i="3"/>
  <c r="H285" i="3"/>
  <c r="I284" i="3"/>
  <c r="H284" i="3"/>
  <c r="P284" i="3" s="1"/>
  <c r="I283" i="3"/>
  <c r="H283" i="3"/>
  <c r="G282" i="3"/>
  <c r="H282" i="3" s="1"/>
  <c r="P282" i="3" s="1"/>
  <c r="G281" i="3"/>
  <c r="H281" i="3" s="1"/>
  <c r="P281" i="3" s="1"/>
  <c r="I280" i="3"/>
  <c r="H280" i="3"/>
  <c r="I279" i="3"/>
  <c r="H279" i="3"/>
  <c r="I278" i="3"/>
  <c r="H278" i="3"/>
  <c r="I277" i="3"/>
  <c r="H277" i="3"/>
  <c r="P277" i="3" s="1"/>
  <c r="I276" i="3"/>
  <c r="H276" i="3"/>
  <c r="V276" i="3" s="1"/>
  <c r="I275" i="3"/>
  <c r="H275" i="3"/>
  <c r="I274" i="3"/>
  <c r="H274" i="3"/>
  <c r="I273" i="3"/>
  <c r="H273" i="3"/>
  <c r="I272" i="3"/>
  <c r="H272" i="3"/>
  <c r="I271" i="3"/>
  <c r="H271" i="3"/>
  <c r="P271" i="3" s="1"/>
  <c r="I270" i="3"/>
  <c r="H270" i="3"/>
  <c r="G269" i="3"/>
  <c r="I269" i="3" s="1"/>
  <c r="I268" i="3"/>
  <c r="H268" i="3"/>
  <c r="P268" i="3" s="1"/>
  <c r="I267" i="3"/>
  <c r="H267" i="3"/>
  <c r="I266" i="3"/>
  <c r="H266" i="3"/>
  <c r="I265" i="3"/>
  <c r="H265" i="3"/>
  <c r="I264" i="3"/>
  <c r="H264" i="3"/>
  <c r="I263" i="3"/>
  <c r="H263" i="3"/>
  <c r="I261" i="3"/>
  <c r="H261" i="3"/>
  <c r="P261" i="3" s="1"/>
  <c r="I260" i="3"/>
  <c r="H260" i="3"/>
  <c r="I259" i="3"/>
  <c r="H259" i="3"/>
  <c r="I258" i="3"/>
  <c r="H258" i="3"/>
  <c r="P258" i="3" s="1"/>
  <c r="I257" i="3"/>
  <c r="H257" i="3"/>
  <c r="P257" i="3" s="1"/>
  <c r="I256" i="3"/>
  <c r="H256" i="3"/>
  <c r="I255" i="3"/>
  <c r="H255" i="3"/>
  <c r="P255" i="3" s="1"/>
  <c r="I254" i="3"/>
  <c r="H254" i="3"/>
  <c r="I253" i="3"/>
  <c r="H253" i="3"/>
  <c r="I252" i="3"/>
  <c r="H252" i="3"/>
  <c r="I251" i="3"/>
  <c r="H251" i="3"/>
  <c r="I250" i="3"/>
  <c r="H250" i="3"/>
  <c r="G249" i="3"/>
  <c r="H249" i="3" s="1"/>
  <c r="I248" i="3"/>
  <c r="H248" i="3"/>
  <c r="G247" i="3"/>
  <c r="I246" i="3"/>
  <c r="H246" i="3"/>
  <c r="I244" i="3"/>
  <c r="H244" i="3"/>
  <c r="G243" i="3"/>
  <c r="I243" i="3" s="1"/>
  <c r="I242" i="3"/>
  <c r="H242" i="3"/>
  <c r="G242" i="3"/>
  <c r="G241" i="3"/>
  <c r="I239" i="3"/>
  <c r="H239" i="3"/>
  <c r="I238" i="3"/>
  <c r="H238" i="3"/>
  <c r="I235" i="3"/>
  <c r="H235" i="3"/>
  <c r="I234" i="3"/>
  <c r="H234" i="3"/>
  <c r="I233" i="3"/>
  <c r="H233" i="3"/>
  <c r="I231" i="3"/>
  <c r="V231" i="3" s="1"/>
  <c r="I230" i="3"/>
  <c r="H230" i="3"/>
  <c r="I229" i="3"/>
  <c r="H229" i="3"/>
  <c r="P229" i="3" s="1"/>
  <c r="I228" i="3"/>
  <c r="H228" i="3"/>
  <c r="G227" i="3"/>
  <c r="I227" i="3" s="1"/>
  <c r="I226" i="3"/>
  <c r="H226" i="3"/>
  <c r="P226" i="3" s="1"/>
  <c r="G225" i="3"/>
  <c r="H225" i="3" s="1"/>
  <c r="G224" i="3"/>
  <c r="I224" i="3" s="1"/>
  <c r="I223" i="3"/>
  <c r="H223" i="3"/>
  <c r="P223" i="3" s="1"/>
  <c r="I222" i="3"/>
  <c r="H222" i="3"/>
  <c r="P222" i="3" s="1"/>
  <c r="H221" i="3"/>
  <c r="V221" i="3" s="1"/>
  <c r="I220" i="3"/>
  <c r="H220" i="3"/>
  <c r="P220" i="3" s="1"/>
  <c r="P219" i="3"/>
  <c r="I219" i="3"/>
  <c r="H219" i="3"/>
  <c r="H218" i="3"/>
  <c r="I217" i="3"/>
  <c r="H217" i="3"/>
  <c r="I216" i="3"/>
  <c r="H216" i="3"/>
  <c r="G215" i="3"/>
  <c r="G214" i="3"/>
  <c r="I214" i="3" s="1"/>
  <c r="V213" i="3"/>
  <c r="I212" i="3"/>
  <c r="H212" i="3"/>
  <c r="I211" i="3"/>
  <c r="H211" i="3"/>
  <c r="I210" i="3"/>
  <c r="H210" i="3"/>
  <c r="P210" i="3" s="1"/>
  <c r="P209" i="3"/>
  <c r="I209" i="3"/>
  <c r="H209" i="3"/>
  <c r="P208" i="3"/>
  <c r="I208" i="3"/>
  <c r="H208" i="3"/>
  <c r="I207" i="3"/>
  <c r="H207" i="3"/>
  <c r="I206" i="3"/>
  <c r="H206" i="3"/>
  <c r="G205" i="3"/>
  <c r="G204" i="3"/>
  <c r="G203" i="3"/>
  <c r="I202" i="3"/>
  <c r="H202" i="3"/>
  <c r="G201" i="3"/>
  <c r="I201" i="3" s="1"/>
  <c r="G200" i="3"/>
  <c r="I199" i="3"/>
  <c r="H199" i="3"/>
  <c r="P199" i="3" s="1"/>
  <c r="I198" i="3"/>
  <c r="H198" i="3"/>
  <c r="G197" i="3"/>
  <c r="I196" i="3"/>
  <c r="H196" i="3"/>
  <c r="I195" i="3"/>
  <c r="H195" i="3"/>
  <c r="I194" i="3"/>
  <c r="H194" i="3"/>
  <c r="P194" i="3" s="1"/>
  <c r="W193" i="3"/>
  <c r="I193" i="3"/>
  <c r="H193" i="3"/>
  <c r="I192" i="3"/>
  <c r="H192" i="3"/>
  <c r="V192" i="3" s="1"/>
  <c r="G191" i="3"/>
  <c r="I191" i="3" s="1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2" i="3"/>
  <c r="H182" i="3"/>
  <c r="I181" i="3"/>
  <c r="H181" i="3"/>
  <c r="I180" i="3"/>
  <c r="H180" i="3"/>
  <c r="I179" i="3"/>
  <c r="H179" i="3"/>
  <c r="I178" i="3"/>
  <c r="H178" i="3"/>
  <c r="I176" i="3"/>
  <c r="H176" i="3"/>
  <c r="I175" i="3"/>
  <c r="H175" i="3"/>
  <c r="V174" i="3"/>
  <c r="Z174" i="3" s="1"/>
  <c r="V172" i="3"/>
  <c r="M171" i="3"/>
  <c r="L171" i="3"/>
  <c r="I171" i="3"/>
  <c r="H171" i="3"/>
  <c r="M170" i="3"/>
  <c r="L170" i="3"/>
  <c r="I170" i="3"/>
  <c r="H170" i="3"/>
  <c r="M169" i="3"/>
  <c r="L169" i="3"/>
  <c r="I169" i="3"/>
  <c r="H169" i="3"/>
  <c r="M168" i="3"/>
  <c r="L168" i="3"/>
  <c r="I168" i="3"/>
  <c r="H168" i="3"/>
  <c r="M167" i="3"/>
  <c r="L167" i="3"/>
  <c r="I167" i="3"/>
  <c r="H167" i="3"/>
  <c r="M165" i="3"/>
  <c r="L165" i="3"/>
  <c r="I165" i="3"/>
  <c r="H165" i="3"/>
  <c r="I164" i="3"/>
  <c r="H164" i="3"/>
  <c r="V164" i="3" s="1"/>
  <c r="M163" i="3"/>
  <c r="L163" i="3"/>
  <c r="I163" i="3"/>
  <c r="H163" i="3"/>
  <c r="M162" i="3"/>
  <c r="L162" i="3"/>
  <c r="I162" i="3"/>
  <c r="H162" i="3"/>
  <c r="M161" i="3"/>
  <c r="L161" i="3"/>
  <c r="I161" i="3"/>
  <c r="H161" i="3"/>
  <c r="M159" i="3"/>
  <c r="L159" i="3"/>
  <c r="I159" i="3"/>
  <c r="H159" i="3"/>
  <c r="M158" i="3"/>
  <c r="L158" i="3"/>
  <c r="I158" i="3"/>
  <c r="H158" i="3"/>
  <c r="M157" i="3"/>
  <c r="L157" i="3"/>
  <c r="I157" i="3"/>
  <c r="H157" i="3"/>
  <c r="M156" i="3"/>
  <c r="L156" i="3"/>
  <c r="I156" i="3"/>
  <c r="H156" i="3"/>
  <c r="M155" i="3"/>
  <c r="L155" i="3"/>
  <c r="I155" i="3"/>
  <c r="H155" i="3"/>
  <c r="M154" i="3"/>
  <c r="L154" i="3"/>
  <c r="I154" i="3"/>
  <c r="H154" i="3"/>
  <c r="M152" i="3"/>
  <c r="L152" i="3"/>
  <c r="I152" i="3"/>
  <c r="H152" i="3"/>
  <c r="M151" i="3"/>
  <c r="L151" i="3"/>
  <c r="I151" i="3"/>
  <c r="H151" i="3"/>
  <c r="M150" i="3"/>
  <c r="L150" i="3"/>
  <c r="I150" i="3"/>
  <c r="H150" i="3"/>
  <c r="M149" i="3"/>
  <c r="L149" i="3"/>
  <c r="I149" i="3"/>
  <c r="H149" i="3"/>
  <c r="M148" i="3"/>
  <c r="L148" i="3"/>
  <c r="I148" i="3"/>
  <c r="H148" i="3"/>
  <c r="V145" i="3"/>
  <c r="Z145" i="3" s="1"/>
  <c r="M144" i="3"/>
  <c r="L144" i="3"/>
  <c r="I144" i="3"/>
  <c r="H144" i="3"/>
  <c r="V143" i="3"/>
  <c r="Z143" i="3" s="1"/>
  <c r="V142" i="3"/>
  <c r="Z142" i="3" s="1"/>
  <c r="M141" i="3"/>
  <c r="L141" i="3"/>
  <c r="I141" i="3"/>
  <c r="H141" i="3"/>
  <c r="M140" i="3"/>
  <c r="L140" i="3"/>
  <c r="I140" i="3"/>
  <c r="H140" i="3"/>
  <c r="V139" i="3"/>
  <c r="Z139" i="3" s="1"/>
  <c r="M138" i="3"/>
  <c r="L138" i="3"/>
  <c r="I138" i="3"/>
  <c r="H138" i="3"/>
  <c r="M137" i="3"/>
  <c r="L137" i="3"/>
  <c r="I137" i="3"/>
  <c r="H137" i="3"/>
  <c r="V136" i="3"/>
  <c r="Z136" i="3" s="1"/>
  <c r="V135" i="3"/>
  <c r="Z135" i="3" s="1"/>
  <c r="M134" i="3"/>
  <c r="L134" i="3"/>
  <c r="I134" i="3"/>
  <c r="H134" i="3"/>
  <c r="V133" i="3"/>
  <c r="Z133" i="3" s="1"/>
  <c r="V132" i="3"/>
  <c r="Z132" i="3" s="1"/>
  <c r="I131" i="3"/>
  <c r="H131" i="3"/>
  <c r="I130" i="3"/>
  <c r="H130" i="3"/>
  <c r="Z129" i="3"/>
  <c r="I129" i="3"/>
  <c r="H129" i="3"/>
  <c r="V128" i="3"/>
  <c r="Z128" i="3" s="1"/>
  <c r="M127" i="3"/>
  <c r="L127" i="3"/>
  <c r="I127" i="3"/>
  <c r="H127" i="3"/>
  <c r="M126" i="3"/>
  <c r="L126" i="3"/>
  <c r="I126" i="3"/>
  <c r="H126" i="3"/>
  <c r="V125" i="3"/>
  <c r="Z125" i="3" s="1"/>
  <c r="V124" i="3"/>
  <c r="Z124" i="3" s="1"/>
  <c r="M123" i="3"/>
  <c r="L123" i="3"/>
  <c r="I123" i="3"/>
  <c r="H123" i="3"/>
  <c r="M122" i="3"/>
  <c r="L122" i="3"/>
  <c r="I122" i="3"/>
  <c r="H122" i="3"/>
  <c r="V121" i="3"/>
  <c r="Z121" i="3" s="1"/>
  <c r="M120" i="3"/>
  <c r="L120" i="3"/>
  <c r="I120" i="3"/>
  <c r="H120" i="3"/>
  <c r="M119" i="3"/>
  <c r="L119" i="3"/>
  <c r="I119" i="3"/>
  <c r="H119" i="3"/>
  <c r="V119" i="3" s="1"/>
  <c r="Z119" i="3" s="1"/>
  <c r="W118" i="3"/>
  <c r="M118" i="3"/>
  <c r="L118" i="3"/>
  <c r="I118" i="3"/>
  <c r="H118" i="3"/>
  <c r="V117" i="3"/>
  <c r="Z117" i="3" s="1"/>
  <c r="Z116" i="3"/>
  <c r="M116" i="3"/>
  <c r="L116" i="3"/>
  <c r="I116" i="3"/>
  <c r="H116" i="3"/>
  <c r="L115" i="3"/>
  <c r="I115" i="3"/>
  <c r="H115" i="3"/>
  <c r="L114" i="3"/>
  <c r="I114" i="3"/>
  <c r="H114" i="3"/>
  <c r="L113" i="3"/>
  <c r="I113" i="3"/>
  <c r="H113" i="3"/>
  <c r="L112" i="3"/>
  <c r="I112" i="3"/>
  <c r="H112" i="3"/>
  <c r="L111" i="3"/>
  <c r="I111" i="3"/>
  <c r="H111" i="3"/>
  <c r="L110" i="3"/>
  <c r="I110" i="3"/>
  <c r="H110" i="3"/>
  <c r="L109" i="3"/>
  <c r="I109" i="3"/>
  <c r="H109" i="3"/>
  <c r="L108" i="3"/>
  <c r="I108" i="3"/>
  <c r="H108" i="3"/>
  <c r="I107" i="3"/>
  <c r="V107" i="3" s="1"/>
  <c r="Z107" i="3" s="1"/>
  <c r="V106" i="3"/>
  <c r="Z106" i="3" s="1"/>
  <c r="V105" i="3"/>
  <c r="Z105" i="3" s="1"/>
  <c r="I104" i="3"/>
  <c r="V104" i="3" s="1"/>
  <c r="Z104" i="3" s="1"/>
  <c r="I103" i="3"/>
  <c r="V103" i="3" s="1"/>
  <c r="Z103" i="3" s="1"/>
  <c r="I102" i="3"/>
  <c r="H102" i="3"/>
  <c r="V101" i="3"/>
  <c r="Z101" i="3" s="1"/>
  <c r="I100" i="3"/>
  <c r="H100" i="3"/>
  <c r="I99" i="3"/>
  <c r="H99" i="3"/>
  <c r="V98" i="3"/>
  <c r="Z98" i="3" s="1"/>
  <c r="I97" i="3"/>
  <c r="H97" i="3"/>
  <c r="V97" i="3" s="1"/>
  <c r="Z97" i="3" s="1"/>
  <c r="I96" i="3"/>
  <c r="H96" i="3"/>
  <c r="I95" i="3"/>
  <c r="H95" i="3"/>
  <c r="I94" i="3"/>
  <c r="H94" i="3"/>
  <c r="I93" i="3"/>
  <c r="H93" i="3"/>
  <c r="V92" i="3"/>
  <c r="Z92" i="3" s="1"/>
  <c r="I91" i="3"/>
  <c r="H91" i="3"/>
  <c r="I90" i="3"/>
  <c r="H90" i="3"/>
  <c r="V90" i="3" s="1"/>
  <c r="Z90" i="3" s="1"/>
  <c r="V89" i="3"/>
  <c r="Z89" i="3" s="1"/>
  <c r="I88" i="3"/>
  <c r="H88" i="3"/>
  <c r="I87" i="3"/>
  <c r="H87" i="3"/>
  <c r="V86" i="3"/>
  <c r="Z86" i="3" s="1"/>
  <c r="I85" i="3"/>
  <c r="H85" i="3"/>
  <c r="I84" i="3"/>
  <c r="H84" i="3"/>
  <c r="I83" i="3"/>
  <c r="H83" i="3"/>
  <c r="I82" i="3"/>
  <c r="H82" i="3"/>
  <c r="I81" i="3"/>
  <c r="H81" i="3"/>
  <c r="V80" i="3"/>
  <c r="Z80" i="3" s="1"/>
  <c r="V79" i="3"/>
  <c r="Z79" i="3" s="1"/>
  <c r="I78" i="3"/>
  <c r="H78" i="3"/>
  <c r="V78" i="3" s="1"/>
  <c r="Z78" i="3" s="1"/>
  <c r="I77" i="3"/>
  <c r="H77" i="3"/>
  <c r="I76" i="3"/>
  <c r="H76" i="3"/>
  <c r="V76" i="3" s="1"/>
  <c r="Z76" i="3" s="1"/>
  <c r="I75" i="3"/>
  <c r="H75" i="3"/>
  <c r="I74" i="3"/>
  <c r="H74" i="3"/>
  <c r="V73" i="3"/>
  <c r="Z73" i="3" s="1"/>
  <c r="V72" i="3"/>
  <c r="Z72" i="3" s="1"/>
  <c r="I71" i="3"/>
  <c r="H71" i="3"/>
  <c r="V71" i="3" s="1"/>
  <c r="Z71" i="3" s="1"/>
  <c r="V70" i="3"/>
  <c r="Z70" i="3" s="1"/>
  <c r="V69" i="3"/>
  <c r="Z69" i="3" s="1"/>
  <c r="I68" i="3"/>
  <c r="H68" i="3"/>
  <c r="I67" i="3"/>
  <c r="H67" i="3"/>
  <c r="I66" i="3"/>
  <c r="H66" i="3"/>
  <c r="I65" i="3"/>
  <c r="H65" i="3"/>
  <c r="V64" i="3"/>
  <c r="Z64" i="3" s="1"/>
  <c r="I63" i="3"/>
  <c r="H63" i="3"/>
  <c r="I62" i="3"/>
  <c r="H62" i="3"/>
  <c r="I61" i="3"/>
  <c r="H61" i="3"/>
  <c r="V61" i="3" s="1"/>
  <c r="Z61" i="3" s="1"/>
  <c r="I60" i="3"/>
  <c r="H60" i="3"/>
  <c r="I59" i="3"/>
  <c r="H59" i="3"/>
  <c r="V59" i="3" s="1"/>
  <c r="Z59" i="3" s="1"/>
  <c r="I58" i="3"/>
  <c r="H58" i="3"/>
  <c r="I57" i="3"/>
  <c r="H57" i="3"/>
  <c r="V56" i="3"/>
  <c r="Z56" i="3" s="1"/>
  <c r="I55" i="3"/>
  <c r="H55" i="3"/>
  <c r="V55" i="3" s="1"/>
  <c r="Z55" i="3" s="1"/>
  <c r="I54" i="3"/>
  <c r="H54" i="3"/>
  <c r="V53" i="3"/>
  <c r="Z53" i="3" s="1"/>
  <c r="I52" i="3"/>
  <c r="H52" i="3"/>
  <c r="I51" i="3"/>
  <c r="H51" i="3"/>
  <c r="V50" i="3"/>
  <c r="Z50" i="3" s="1"/>
  <c r="V49" i="3"/>
  <c r="Z49" i="3" s="1"/>
  <c r="I48" i="3"/>
  <c r="H48" i="3"/>
  <c r="V48" i="3" s="1"/>
  <c r="Z48" i="3" s="1"/>
  <c r="I47" i="3"/>
  <c r="H47" i="3"/>
  <c r="V47" i="3" s="1"/>
  <c r="Z47" i="3" s="1"/>
  <c r="I46" i="3"/>
  <c r="H46" i="3"/>
  <c r="I45" i="3"/>
  <c r="H45" i="3"/>
  <c r="V44" i="3"/>
  <c r="I43" i="3"/>
  <c r="H43" i="3"/>
  <c r="V43" i="3" s="1"/>
  <c r="Z43" i="3" s="1"/>
  <c r="I42" i="3"/>
  <c r="H42" i="3"/>
  <c r="I41" i="3"/>
  <c r="H41" i="3"/>
  <c r="I40" i="3"/>
  <c r="H40" i="3"/>
  <c r="Z39" i="3"/>
  <c r="I39" i="3"/>
  <c r="H39" i="3"/>
  <c r="I38" i="3"/>
  <c r="H38" i="3"/>
  <c r="V37" i="3"/>
  <c r="Z37" i="3" s="1"/>
  <c r="V36" i="3"/>
  <c r="Z36" i="3" s="1"/>
  <c r="I35" i="3"/>
  <c r="H35" i="3"/>
  <c r="V34" i="3"/>
  <c r="Z34" i="3" s="1"/>
  <c r="V33" i="3"/>
  <c r="Z33" i="3" s="1"/>
  <c r="I32" i="3"/>
  <c r="H32" i="3"/>
  <c r="I31" i="3"/>
  <c r="H31" i="3"/>
  <c r="V31" i="3" s="1"/>
  <c r="Z31" i="3" s="1"/>
  <c r="I30" i="3"/>
  <c r="H30" i="3"/>
  <c r="I29" i="3"/>
  <c r="H29" i="3"/>
  <c r="V28" i="3"/>
  <c r="Z28" i="3" s="1"/>
  <c r="I27" i="3"/>
  <c r="H27" i="3"/>
  <c r="I26" i="3"/>
  <c r="H26" i="3"/>
  <c r="I25" i="3"/>
  <c r="H25" i="3"/>
  <c r="I24" i="3"/>
  <c r="H24" i="3"/>
  <c r="I23" i="3"/>
  <c r="H23" i="3"/>
  <c r="V23" i="3" s="1"/>
  <c r="Z23" i="3" s="1"/>
  <c r="I22" i="3"/>
  <c r="H22" i="3"/>
  <c r="V21" i="3"/>
  <c r="Z21" i="3" s="1"/>
  <c r="I20" i="3"/>
  <c r="H20" i="3"/>
  <c r="I19" i="3"/>
  <c r="H19" i="3"/>
  <c r="I18" i="3"/>
  <c r="H18" i="3"/>
  <c r="I17" i="3"/>
  <c r="H17" i="3"/>
  <c r="V17" i="3" s="1"/>
  <c r="Z17" i="3" s="1"/>
  <c r="I16" i="3"/>
  <c r="H16" i="3"/>
  <c r="V16" i="3" s="1"/>
  <c r="Z16" i="3" s="1"/>
  <c r="I15" i="3"/>
  <c r="H15" i="3"/>
  <c r="V14" i="3"/>
  <c r="Z14" i="3" s="1"/>
  <c r="I13" i="3"/>
  <c r="H13" i="3"/>
  <c r="I12" i="3"/>
  <c r="H12" i="3"/>
  <c r="I11" i="3"/>
  <c r="H11" i="3"/>
  <c r="V11" i="3" s="1"/>
  <c r="Z11" i="3" s="1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V7" i="3" l="1"/>
  <c r="Z7" i="3" s="1"/>
  <c r="V13" i="3"/>
  <c r="Z13" i="3" s="1"/>
  <c r="V130" i="3"/>
  <c r="Z130" i="3" s="1"/>
  <c r="I249" i="3"/>
  <c r="V249" i="3" s="1"/>
  <c r="H214" i="3"/>
  <c r="P214" i="3" s="1"/>
  <c r="H433" i="3"/>
  <c r="H227" i="3"/>
  <c r="P227" i="3" s="1"/>
  <c r="I331" i="3"/>
  <c r="H201" i="3"/>
  <c r="P201" i="3" s="1"/>
  <c r="H287" i="3"/>
  <c r="V287" i="3" s="1"/>
  <c r="H191" i="3"/>
  <c r="V191" i="3" s="1"/>
  <c r="H359" i="3"/>
  <c r="V359" i="3" s="1"/>
  <c r="H243" i="3"/>
  <c r="V243" i="3" s="1"/>
  <c r="H444" i="3"/>
  <c r="V444" i="3" s="1"/>
  <c r="V32" i="3"/>
  <c r="Z32" i="3" s="1"/>
  <c r="V46" i="3"/>
  <c r="Z46" i="3" s="1"/>
  <c r="V95" i="3"/>
  <c r="Z95" i="3" s="1"/>
  <c r="V102" i="3"/>
  <c r="Z102" i="3" s="1"/>
  <c r="I225" i="3"/>
  <c r="V280" i="3"/>
  <c r="R11" i="1"/>
  <c r="S11" i="1" s="1"/>
  <c r="R67" i="1"/>
  <c r="K44" i="1"/>
  <c r="R16" i="1"/>
  <c r="S16" i="1" s="1"/>
  <c r="R25" i="1"/>
  <c r="R31" i="1"/>
  <c r="S31" i="1" s="1"/>
  <c r="R210" i="1"/>
  <c r="S210" i="1" s="1"/>
  <c r="J80" i="1"/>
  <c r="N80" i="1" s="1"/>
  <c r="R80" i="1" s="1"/>
  <c r="K60" i="1"/>
  <c r="R60" i="1" s="1"/>
  <c r="K45" i="1"/>
  <c r="R45" i="1" s="1"/>
  <c r="J107" i="1"/>
  <c r="N107" i="1" s="1"/>
  <c r="R107" i="1" s="1"/>
  <c r="J61" i="1"/>
  <c r="N61" i="1" s="1"/>
  <c r="R61" i="1" s="1"/>
  <c r="J253" i="1"/>
  <c r="N253" i="1" s="1"/>
  <c r="R253" i="1" s="1"/>
  <c r="J108" i="1"/>
  <c r="N108" i="1" s="1"/>
  <c r="R108" i="1" s="1"/>
  <c r="J245" i="1"/>
  <c r="N245" i="1" s="1"/>
  <c r="R245" i="1" s="1"/>
  <c r="R321" i="1"/>
  <c r="K264" i="1"/>
  <c r="R264" i="1" s="1"/>
  <c r="R12" i="1"/>
  <c r="S12" i="1" s="1"/>
  <c r="R44" i="1"/>
  <c r="R52" i="1"/>
  <c r="R58" i="1"/>
  <c r="R109" i="1"/>
  <c r="K254" i="1"/>
  <c r="R254" i="1" s="1"/>
  <c r="R330" i="1"/>
  <c r="V182" i="3"/>
  <c r="V225" i="3"/>
  <c r="V233" i="3"/>
  <c r="V328" i="3"/>
  <c r="V171" i="3"/>
  <c r="V377" i="3"/>
  <c r="Z377" i="3" s="1"/>
  <c r="V154" i="3"/>
  <c r="V118" i="3"/>
  <c r="Z118" i="3" s="1"/>
  <c r="V126" i="3"/>
  <c r="Z126" i="3" s="1"/>
  <c r="V137" i="3"/>
  <c r="Z137" i="3" s="1"/>
  <c r="V84" i="3"/>
  <c r="Z84" i="3" s="1"/>
  <c r="V91" i="3"/>
  <c r="Z91" i="3" s="1"/>
  <c r="V327" i="3"/>
  <c r="V383" i="3"/>
  <c r="W383" i="3" s="1"/>
  <c r="V207" i="3"/>
  <c r="V219" i="3"/>
  <c r="V244" i="3"/>
  <c r="R20" i="1"/>
  <c r="S20" i="1" s="1"/>
  <c r="R29" i="1"/>
  <c r="R32" i="1"/>
  <c r="S32" i="1" s="1"/>
  <c r="R53" i="1"/>
  <c r="R212" i="1"/>
  <c r="S212" i="1" s="1"/>
  <c r="R215" i="1"/>
  <c r="S215" i="1" s="1"/>
  <c r="R377" i="1"/>
  <c r="U377" i="1" s="1"/>
  <c r="R219" i="1"/>
  <c r="S219" i="1" s="1"/>
  <c r="R206" i="1"/>
  <c r="S206" i="1" s="1"/>
  <c r="R213" i="1"/>
  <c r="S213" i="1" s="1"/>
  <c r="R224" i="1"/>
  <c r="S224" i="1" s="1"/>
  <c r="R318" i="1"/>
  <c r="R333" i="1"/>
  <c r="R51" i="1"/>
  <c r="S51" i="1" s="1"/>
  <c r="R57" i="1"/>
  <c r="S57" i="1" s="1"/>
  <c r="R28" i="1"/>
  <c r="R279" i="1"/>
  <c r="R39" i="1"/>
  <c r="R223" i="1"/>
  <c r="S223" i="1" s="1"/>
  <c r="R317" i="1"/>
  <c r="R5" i="1"/>
  <c r="R15" i="1"/>
  <c r="S15" i="1" s="1"/>
  <c r="R30" i="1"/>
  <c r="R33" i="1"/>
  <c r="S33" i="1" s="1"/>
  <c r="R234" i="1"/>
  <c r="R26" i="1"/>
  <c r="R55" i="1"/>
  <c r="R257" i="1"/>
  <c r="R362" i="1"/>
  <c r="R36" i="1"/>
  <c r="R278" i="1"/>
  <c r="R203" i="1"/>
  <c r="S203" i="1" s="1"/>
  <c r="R209" i="1"/>
  <c r="S209" i="1" s="1"/>
  <c r="R13" i="1"/>
  <c r="R42" i="1"/>
  <c r="R50" i="1"/>
  <c r="S50" i="1" s="1"/>
  <c r="R68" i="1"/>
  <c r="R196" i="1"/>
  <c r="S196" i="1" s="1"/>
  <c r="R208" i="1"/>
  <c r="S208" i="1" s="1"/>
  <c r="R216" i="1"/>
  <c r="R149" i="1"/>
  <c r="R34" i="1"/>
  <c r="S34" i="1" s="1"/>
  <c r="R41" i="1"/>
  <c r="R19" i="1"/>
  <c r="S19" i="1" s="1"/>
  <c r="R10" i="1"/>
  <c r="R23" i="1"/>
  <c r="S23" i="1" s="1"/>
  <c r="R66" i="1"/>
  <c r="R250" i="1"/>
  <c r="R263" i="1"/>
  <c r="N306" i="1"/>
  <c r="R4" i="1"/>
  <c r="R17" i="1"/>
  <c r="S17" i="1" s="1"/>
  <c r="R24" i="1"/>
  <c r="R37" i="1"/>
  <c r="R231" i="1"/>
  <c r="R274" i="1"/>
  <c r="R237" i="1"/>
  <c r="N197" i="1"/>
  <c r="R197" i="1" s="1"/>
  <c r="R202" i="1"/>
  <c r="S202" i="1" s="1"/>
  <c r="R247" i="1"/>
  <c r="R238" i="1"/>
  <c r="R319" i="1"/>
  <c r="R359" i="1"/>
  <c r="U359" i="1" s="1"/>
  <c r="R6" i="1"/>
  <c r="R27" i="1"/>
  <c r="R40" i="1"/>
  <c r="R204" i="1"/>
  <c r="R228" i="1"/>
  <c r="S228" i="1" s="1"/>
  <c r="R329" i="1"/>
  <c r="V87" i="3"/>
  <c r="Z87" i="3" s="1"/>
  <c r="V230" i="3"/>
  <c r="V387" i="3"/>
  <c r="V12" i="3"/>
  <c r="Z12" i="3" s="1"/>
  <c r="V169" i="3"/>
  <c r="V113" i="3"/>
  <c r="Z113" i="3" s="1"/>
  <c r="V167" i="3"/>
  <c r="Z167" i="3" s="1"/>
  <c r="V4" i="3"/>
  <c r="Z4" i="3" s="1"/>
  <c r="V9" i="3"/>
  <c r="Z9" i="3" s="1"/>
  <c r="V352" i="3"/>
  <c r="V57" i="3"/>
  <c r="Z57" i="3" s="1"/>
  <c r="V63" i="3"/>
  <c r="Z63" i="3" s="1"/>
  <c r="V187" i="3"/>
  <c r="V206" i="3"/>
  <c r="V304" i="3"/>
  <c r="W304" i="3" s="1"/>
  <c r="V333" i="3"/>
  <c r="V30" i="3"/>
  <c r="Z30" i="3" s="1"/>
  <c r="V273" i="3"/>
  <c r="W273" i="3" s="1"/>
  <c r="V149" i="3"/>
  <c r="Z149" i="3" s="1"/>
  <c r="V152" i="3"/>
  <c r="V156" i="3"/>
  <c r="V159" i="3"/>
  <c r="Z159" i="3" s="1"/>
  <c r="V163" i="3"/>
  <c r="V195" i="3"/>
  <c r="V384" i="3"/>
  <c r="W384" i="3" s="1"/>
  <c r="V26" i="3"/>
  <c r="Z26" i="3" s="1"/>
  <c r="V67" i="3"/>
  <c r="Z67" i="3" s="1"/>
  <c r="V82" i="3"/>
  <c r="Z82" i="3" s="1"/>
  <c r="V110" i="3"/>
  <c r="Z110" i="3" s="1"/>
  <c r="V209" i="3"/>
  <c r="V248" i="3"/>
  <c r="V254" i="3"/>
  <c r="W254" i="3" s="1"/>
  <c r="V263" i="3"/>
  <c r="V270" i="3"/>
  <c r="W270" i="3" s="1"/>
  <c r="V96" i="3"/>
  <c r="Z96" i="3" s="1"/>
  <c r="V168" i="3"/>
  <c r="V178" i="3"/>
  <c r="V185" i="3"/>
  <c r="V196" i="3"/>
  <c r="V297" i="3"/>
  <c r="V242" i="3"/>
  <c r="V340" i="3"/>
  <c r="V380" i="3"/>
  <c r="W380" i="3" s="1"/>
  <c r="V491" i="3"/>
  <c r="W491" i="3" s="1"/>
  <c r="V123" i="3"/>
  <c r="Z123" i="3" s="1"/>
  <c r="V194" i="3"/>
  <c r="P244" i="3"/>
  <c r="V513" i="3"/>
  <c r="V74" i="3"/>
  <c r="Z74" i="3" s="1"/>
  <c r="V81" i="3"/>
  <c r="Z81" i="3" s="1"/>
  <c r="V277" i="3"/>
  <c r="V3" i="3"/>
  <c r="Z3" i="3" s="1"/>
  <c r="V184" i="3"/>
  <c r="V54" i="3"/>
  <c r="Z54" i="3" s="1"/>
  <c r="H479" i="3"/>
  <c r="V479" i="3" s="1"/>
  <c r="W479" i="3" s="1"/>
  <c r="V261" i="3"/>
  <c r="H472" i="3"/>
  <c r="V472" i="3" s="1"/>
  <c r="V38" i="3"/>
  <c r="Z38" i="3" s="1"/>
  <c r="V51" i="3"/>
  <c r="Z51" i="3" s="1"/>
  <c r="V58" i="3"/>
  <c r="Z58" i="3" s="1"/>
  <c r="V112" i="3"/>
  <c r="Z112" i="3" s="1"/>
  <c r="V188" i="3"/>
  <c r="V256" i="3"/>
  <c r="V298" i="3"/>
  <c r="V27" i="3"/>
  <c r="Z27" i="3" s="1"/>
  <c r="V22" i="3"/>
  <c r="Z22" i="3" s="1"/>
  <c r="V392" i="3"/>
  <c r="Z392" i="3" s="1"/>
  <c r="V75" i="3"/>
  <c r="Z75" i="3" s="1"/>
  <c r="V330" i="3"/>
  <c r="V433" i="3"/>
  <c r="V24" i="3"/>
  <c r="Z24" i="3" s="1"/>
  <c r="V111" i="3"/>
  <c r="Z111" i="3" s="1"/>
  <c r="V212" i="3"/>
  <c r="V227" i="3"/>
  <c r="W227" i="3" s="1"/>
  <c r="P276" i="3"/>
  <c r="V514" i="3"/>
  <c r="V5" i="3"/>
  <c r="Z5" i="3" s="1"/>
  <c r="V15" i="3"/>
  <c r="Z15" i="3" s="1"/>
  <c r="V25" i="3"/>
  <c r="Z25" i="3" s="1"/>
  <c r="V45" i="3"/>
  <c r="Z45" i="3" s="1"/>
  <c r="V52" i="3"/>
  <c r="Z52" i="3" s="1"/>
  <c r="V65" i="3"/>
  <c r="Z65" i="3" s="1"/>
  <c r="V85" i="3"/>
  <c r="Z85" i="3" s="1"/>
  <c r="V381" i="3"/>
  <c r="W381" i="3" s="1"/>
  <c r="V93" i="3"/>
  <c r="Z93" i="3" s="1"/>
  <c r="V108" i="3"/>
  <c r="Z108" i="3" s="1"/>
  <c r="V122" i="3"/>
  <c r="Z122" i="3" s="1"/>
  <c r="V228" i="3"/>
  <c r="P297" i="3"/>
  <c r="V509" i="3"/>
  <c r="P514" i="3"/>
  <c r="V40" i="3"/>
  <c r="Z40" i="3" s="1"/>
  <c r="V60" i="3"/>
  <c r="Z60" i="3" s="1"/>
  <c r="V66" i="3"/>
  <c r="Z66" i="3" s="1"/>
  <c r="V141" i="3"/>
  <c r="Z141" i="3" s="1"/>
  <c r="V148" i="3"/>
  <c r="Z148" i="3" s="1"/>
  <c r="V214" i="3"/>
  <c r="V396" i="3"/>
  <c r="V109" i="3"/>
  <c r="Z109" i="3" s="1"/>
  <c r="V193" i="3"/>
  <c r="V198" i="3"/>
  <c r="V251" i="3"/>
  <c r="W251" i="3" s="1"/>
  <c r="V319" i="3"/>
  <c r="V114" i="3"/>
  <c r="Z114" i="3" s="1"/>
  <c r="V176" i="3"/>
  <c r="V189" i="3"/>
  <c r="V199" i="3"/>
  <c r="V226" i="3"/>
  <c r="W226" i="3" s="1"/>
  <c r="V246" i="3"/>
  <c r="V315" i="3"/>
  <c r="V393" i="3"/>
  <c r="Z393" i="3" s="1"/>
  <c r="P477" i="3"/>
  <c r="V477" i="3" s="1"/>
  <c r="V265" i="3"/>
  <c r="W265" i="3" s="1"/>
  <c r="P265" i="3"/>
  <c r="V318" i="3"/>
  <c r="P318" i="3"/>
  <c r="P248" i="3"/>
  <c r="V274" i="3"/>
  <c r="W274" i="3" s="1"/>
  <c r="V283" i="3"/>
  <c r="P283" i="3"/>
  <c r="P206" i="3"/>
  <c r="V210" i="3"/>
  <c r="V294" i="3"/>
  <c r="P294" i="3"/>
  <c r="V300" i="3"/>
  <c r="P300" i="3"/>
  <c r="V8" i="3"/>
  <c r="Z8" i="3" s="1"/>
  <c r="P266" i="3"/>
  <c r="V266" i="3"/>
  <c r="V179" i="3"/>
  <c r="V150" i="3"/>
  <c r="Z150" i="3" s="1"/>
  <c r="V161" i="3"/>
  <c r="P233" i="3"/>
  <c r="P263" i="3"/>
  <c r="V257" i="3"/>
  <c r="W257" i="3" s="1"/>
  <c r="V35" i="3"/>
  <c r="Z35" i="3" s="1"/>
  <c r="V68" i="3"/>
  <c r="W68" i="3" s="1"/>
  <c r="Z68" i="3" s="1"/>
  <c r="V235" i="3"/>
  <c r="P235" i="3"/>
  <c r="V77" i="3"/>
  <c r="Z77" i="3" s="1"/>
  <c r="V202" i="3"/>
  <c r="V289" i="3"/>
  <c r="V390" i="3"/>
  <c r="V42" i="3"/>
  <c r="Z42" i="3" s="1"/>
  <c r="V175" i="3"/>
  <c r="V120" i="3"/>
  <c r="Z120" i="3" s="1"/>
  <c r="V170" i="3"/>
  <c r="P230" i="3"/>
  <c r="V6" i="3"/>
  <c r="Z6" i="3" s="1"/>
  <c r="V19" i="3"/>
  <c r="Z19" i="3" s="1"/>
  <c r="V29" i="3"/>
  <c r="Z29" i="3" s="1"/>
  <c r="V62" i="3"/>
  <c r="Z62" i="3" s="1"/>
  <c r="V134" i="3"/>
  <c r="Z134" i="3" s="1"/>
  <c r="V138" i="3"/>
  <c r="Z138" i="3" s="1"/>
  <c r="V238" i="3"/>
  <c r="V252" i="3"/>
  <c r="V290" i="3"/>
  <c r="V305" i="3"/>
  <c r="W305" i="3" s="1"/>
  <c r="V386" i="3"/>
  <c r="V508" i="3"/>
  <c r="V382" i="3"/>
  <c r="W382" i="3" s="1"/>
  <c r="V144" i="3"/>
  <c r="Z144" i="3" s="1"/>
  <c r="V155" i="3"/>
  <c r="V162" i="3"/>
  <c r="Z162" i="3" s="1"/>
  <c r="V99" i="3"/>
  <c r="Z99" i="3" s="1"/>
  <c r="V180" i="3"/>
  <c r="V201" i="3"/>
  <c r="V216" i="3"/>
  <c r="V258" i="3"/>
  <c r="V271" i="3"/>
  <c r="V378" i="3"/>
  <c r="W378" i="3" s="1"/>
  <c r="V422" i="3"/>
  <c r="V10" i="3"/>
  <c r="Z10" i="3" s="1"/>
  <c r="V41" i="3"/>
  <c r="Z41" i="3" s="1"/>
  <c r="V83" i="3"/>
  <c r="V88" i="3"/>
  <c r="Z88" i="3" s="1"/>
  <c r="V94" i="3"/>
  <c r="Z94" i="3" s="1"/>
  <c r="V100" i="3"/>
  <c r="Z100" i="3" s="1"/>
  <c r="V127" i="3"/>
  <c r="Z127" i="3" s="1"/>
  <c r="V131" i="3"/>
  <c r="Z131" i="3" s="1"/>
  <c r="V158" i="3"/>
  <c r="V181" i="3"/>
  <c r="V208" i="3"/>
  <c r="V217" i="3"/>
  <c r="V222" i="3"/>
  <c r="V229" i="3"/>
  <c r="V250" i="3"/>
  <c r="W250" i="3" s="1"/>
  <c r="V259" i="3"/>
  <c r="V295" i="3"/>
  <c r="V303" i="3"/>
  <c r="V310" i="3"/>
  <c r="V379" i="3"/>
  <c r="W379" i="3" s="1"/>
  <c r="V385" i="3"/>
  <c r="V471" i="3"/>
  <c r="P487" i="3"/>
  <c r="V490" i="3"/>
  <c r="W490" i="3" s="1"/>
  <c r="R222" i="1"/>
  <c r="S222" i="1" s="1"/>
  <c r="R18" i="1"/>
  <c r="S18" i="1" s="1"/>
  <c r="R64" i="1"/>
  <c r="R201" i="1"/>
  <c r="S201" i="1" s="1"/>
  <c r="R232" i="1"/>
  <c r="R8" i="1"/>
  <c r="R22" i="1"/>
  <c r="S22" i="1" s="1"/>
  <c r="R35" i="1"/>
  <c r="S35" i="1" s="1"/>
  <c r="R65" i="1"/>
  <c r="R226" i="1"/>
  <c r="R320" i="1"/>
  <c r="R316" i="1"/>
  <c r="R199" i="1"/>
  <c r="N360" i="1"/>
  <c r="N417" i="1"/>
  <c r="R351" i="1"/>
  <c r="U351" i="1" s="1"/>
  <c r="J154" i="1"/>
  <c r="R154" i="1" s="1"/>
  <c r="S154" i="1" s="1"/>
  <c r="U154" i="1" s="1"/>
  <c r="R217" i="1"/>
  <c r="S217" i="1" s="1"/>
  <c r="N361" i="1"/>
  <c r="R380" i="1"/>
  <c r="U380" i="1" s="1"/>
  <c r="R356" i="1"/>
  <c r="U356" i="1" s="1"/>
  <c r="R14" i="1"/>
  <c r="R205" i="1"/>
  <c r="R218" i="1"/>
  <c r="S218" i="1" s="1"/>
  <c r="R352" i="1"/>
  <c r="U352" i="1" s="1"/>
  <c r="R447" i="1"/>
  <c r="U447" i="1" s="1"/>
  <c r="J157" i="1"/>
  <c r="R157" i="1" s="1"/>
  <c r="S157" i="1" s="1"/>
  <c r="U157" i="1" s="1"/>
  <c r="H204" i="3"/>
  <c r="P204" i="3" s="1"/>
  <c r="I215" i="3"/>
  <c r="H215" i="3"/>
  <c r="H344" i="3"/>
  <c r="R225" i="1"/>
  <c r="S225" i="1"/>
  <c r="V223" i="3"/>
  <c r="V284" i="3"/>
  <c r="P368" i="3"/>
  <c r="V368" i="3"/>
  <c r="P217" i="3"/>
  <c r="P246" i="3"/>
  <c r="P304" i="3"/>
  <c r="P327" i="3"/>
  <c r="H473" i="3"/>
  <c r="P473" i="3"/>
  <c r="K79" i="1"/>
  <c r="J79" i="1"/>
  <c r="N79" i="1" s="1"/>
  <c r="V20" i="3"/>
  <c r="Z20" i="3" s="1"/>
  <c r="V157" i="3"/>
  <c r="V190" i="3"/>
  <c r="P190" i="3"/>
  <c r="P242" i="3"/>
  <c r="I282" i="3"/>
  <c r="V282" i="3" s="1"/>
  <c r="W282" i="3" s="1"/>
  <c r="P298" i="3"/>
  <c r="V301" i="3"/>
  <c r="V322" i="3"/>
  <c r="P322" i="3"/>
  <c r="R21" i="1"/>
  <c r="S21" i="1" s="1"/>
  <c r="P314" i="3"/>
  <c r="V314" i="3"/>
  <c r="P207" i="3"/>
  <c r="P296" i="3"/>
  <c r="J177" i="1"/>
  <c r="R177" i="1" s="1"/>
  <c r="S177" i="1" s="1"/>
  <c r="U177" i="1" s="1"/>
  <c r="I344" i="3"/>
  <c r="P433" i="3"/>
  <c r="I205" i="3"/>
  <c r="I486" i="3"/>
  <c r="H316" i="3"/>
  <c r="H486" i="3"/>
  <c r="R77" i="1"/>
  <c r="P221" i="3"/>
  <c r="V115" i="3"/>
  <c r="Z115" i="3" s="1"/>
  <c r="V151" i="3"/>
  <c r="Z151" i="3" s="1"/>
  <c r="V186" i="3"/>
  <c r="Z186" i="3" s="1"/>
  <c r="V218" i="3"/>
  <c r="P218" i="3"/>
  <c r="I247" i="3"/>
  <c r="P295" i="3"/>
  <c r="P302" i="3"/>
  <c r="V302" i="3"/>
  <c r="Z302" i="3" s="1"/>
  <c r="V317" i="3"/>
  <c r="V397" i="3"/>
  <c r="R200" i="1"/>
  <c r="S200" i="1" s="1"/>
  <c r="I204" i="3"/>
  <c r="V275" i="3"/>
  <c r="P275" i="3"/>
  <c r="P445" i="3"/>
  <c r="V220" i="3"/>
  <c r="V239" i="3"/>
  <c r="P239" i="3"/>
  <c r="H205" i="3"/>
  <c r="H269" i="3"/>
  <c r="V269" i="3" s="1"/>
  <c r="W269" i="3" s="1"/>
  <c r="V234" i="3"/>
  <c r="P234" i="3"/>
  <c r="I316" i="3"/>
  <c r="V18" i="3"/>
  <c r="Z18" i="3" s="1"/>
  <c r="H247" i="3"/>
  <c r="P247" i="3" s="1"/>
  <c r="V255" i="3"/>
  <c r="V279" i="3"/>
  <c r="P279" i="3"/>
  <c r="V299" i="3"/>
  <c r="V354" i="3"/>
  <c r="J404" i="1"/>
  <c r="R404" i="1" s="1"/>
  <c r="U404" i="1" s="1"/>
  <c r="V264" i="3"/>
  <c r="W264" i="3" s="1"/>
  <c r="P264" i="3"/>
  <c r="V278" i="3"/>
  <c r="P278" i="3"/>
  <c r="P306" i="3"/>
  <c r="I445" i="3"/>
  <c r="V445" i="3" s="1"/>
  <c r="I200" i="3"/>
  <c r="H200" i="3"/>
  <c r="P200" i="3" s="1"/>
  <c r="V211" i="3"/>
  <c r="P211" i="3"/>
  <c r="P340" i="3"/>
  <c r="H476" i="3"/>
  <c r="P476" i="3"/>
  <c r="V165" i="3"/>
  <c r="P238" i="3"/>
  <c r="P252" i="3"/>
  <c r="P256" i="3"/>
  <c r="P270" i="3"/>
  <c r="P307" i="3"/>
  <c r="V307" i="3"/>
  <c r="K46" i="1"/>
  <c r="V140" i="3"/>
  <c r="Z140" i="3" s="1"/>
  <c r="H224" i="3"/>
  <c r="V224" i="3" s="1"/>
  <c r="I241" i="3"/>
  <c r="H241" i="3"/>
  <c r="P241" i="3" s="1"/>
  <c r="V253" i="3"/>
  <c r="W253" i="3" s="1"/>
  <c r="V272" i="3"/>
  <c r="P272" i="3"/>
  <c r="I281" i="3"/>
  <c r="V281" i="3" s="1"/>
  <c r="W281" i="3" s="1"/>
  <c r="V367" i="3"/>
  <c r="J46" i="1"/>
  <c r="N46" i="1" s="1"/>
  <c r="V286" i="3"/>
  <c r="V454" i="3"/>
  <c r="V469" i="3"/>
  <c r="R227" i="1"/>
  <c r="S227" i="1"/>
  <c r="J265" i="1"/>
  <c r="N265" i="1" s="1"/>
  <c r="R265" i="1" s="1"/>
  <c r="H197" i="3"/>
  <c r="H203" i="3"/>
  <c r="P203" i="3" s="1"/>
  <c r="V326" i="3"/>
  <c r="P412" i="3"/>
  <c r="J142" i="1"/>
  <c r="R142" i="1" s="1"/>
  <c r="J389" i="1"/>
  <c r="R389" i="1" s="1"/>
  <c r="U389" i="1" s="1"/>
  <c r="I197" i="3"/>
  <c r="I203" i="3"/>
  <c r="P228" i="3"/>
  <c r="V351" i="3"/>
  <c r="J49" i="1"/>
  <c r="N49" i="1" s="1"/>
  <c r="R59" i="1"/>
  <c r="S142" i="1"/>
  <c r="R381" i="1"/>
  <c r="U381" i="1" s="1"/>
  <c r="N381" i="1"/>
  <c r="R9" i="1"/>
  <c r="S220" i="1"/>
  <c r="R220" i="1"/>
  <c r="P328" i="3"/>
  <c r="V366" i="3"/>
  <c r="K49" i="1"/>
  <c r="J56" i="1"/>
  <c r="N56" i="1" s="1"/>
  <c r="R56" i="1" s="1"/>
  <c r="J175" i="1"/>
  <c r="R175" i="1" s="1"/>
  <c r="S175" i="1" s="1"/>
  <c r="U175" i="1" s="1"/>
  <c r="J188" i="1"/>
  <c r="R188" i="1" s="1"/>
  <c r="J48" i="1"/>
  <c r="N48" i="1" s="1"/>
  <c r="R48" i="1" s="1"/>
  <c r="J63" i="1"/>
  <c r="N63" i="1" s="1"/>
  <c r="R63" i="1" s="1"/>
  <c r="K243" i="1"/>
  <c r="J243" i="1"/>
  <c r="N243" i="1" s="1"/>
  <c r="K276" i="1"/>
  <c r="J276" i="1"/>
  <c r="N276" i="1" s="1"/>
  <c r="R155" i="1"/>
  <c r="U155" i="1" s="1"/>
  <c r="J163" i="1"/>
  <c r="R163" i="1" s="1"/>
  <c r="S163" i="1" s="1"/>
  <c r="U163" i="1" s="1"/>
  <c r="N255" i="1"/>
  <c r="J288" i="1"/>
  <c r="R288" i="1" s="1"/>
  <c r="U288" i="1" s="1"/>
  <c r="J153" i="1"/>
  <c r="R153" i="1" s="1"/>
  <c r="S153" i="1" s="1"/>
  <c r="U153" i="1" s="1"/>
  <c r="R221" i="1"/>
  <c r="S221" i="1" s="1"/>
  <c r="R277" i="1"/>
  <c r="R233" i="1"/>
  <c r="J367" i="1"/>
  <c r="R367" i="1" s="1"/>
  <c r="U367" i="1" s="1"/>
  <c r="J38" i="1"/>
  <c r="N38" i="1" s="1"/>
  <c r="J47" i="1"/>
  <c r="N47" i="1" s="1"/>
  <c r="J62" i="1"/>
  <c r="N62" i="1" s="1"/>
  <c r="J146" i="1"/>
  <c r="R146" i="1" s="1"/>
  <c r="S146" i="1" s="1"/>
  <c r="U146" i="1" s="1"/>
  <c r="J169" i="1"/>
  <c r="R169" i="1" s="1"/>
  <c r="S169" i="1" s="1"/>
  <c r="U169" i="1" s="1"/>
  <c r="J300" i="1"/>
  <c r="R300" i="1" s="1"/>
  <c r="U300" i="1" s="1"/>
  <c r="K38" i="1"/>
  <c r="K47" i="1"/>
  <c r="K62" i="1"/>
  <c r="R150" i="1"/>
  <c r="S150" i="1" s="1"/>
  <c r="U150" i="1" s="1"/>
  <c r="R162" i="1"/>
  <c r="S162" i="1" s="1"/>
  <c r="U162" i="1" s="1"/>
  <c r="J178" i="1"/>
  <c r="R178" i="1" s="1"/>
  <c r="S178" i="1" s="1"/>
  <c r="U178" i="1" s="1"/>
  <c r="N198" i="1"/>
  <c r="R198" i="1" s="1"/>
  <c r="R211" i="1"/>
  <c r="S211" i="1" s="1"/>
  <c r="R214" i="1"/>
  <c r="S214" i="1" s="1"/>
  <c r="R230" i="1"/>
  <c r="R304" i="1"/>
  <c r="U304" i="1" s="1"/>
  <c r="R337" i="1"/>
  <c r="N358" i="1"/>
  <c r="J305" i="1"/>
  <c r="R305" i="1" s="1"/>
  <c r="U305" i="1" s="1"/>
  <c r="R332" i="1"/>
  <c r="U414" i="1"/>
  <c r="J246" i="1"/>
  <c r="N246" i="1" s="1"/>
  <c r="R246" i="1" s="1"/>
  <c r="K255" i="1"/>
  <c r="N354" i="1"/>
  <c r="N357" i="1"/>
  <c r="P287" i="3" l="1"/>
  <c r="P359" i="3"/>
  <c r="P243" i="3"/>
  <c r="P444" i="3"/>
  <c r="V197" i="3"/>
  <c r="R243" i="1"/>
  <c r="S204" i="1"/>
  <c r="R62" i="1"/>
  <c r="R46" i="1"/>
  <c r="V247" i="3"/>
  <c r="V486" i="3"/>
  <c r="V344" i="3"/>
  <c r="V215" i="3"/>
  <c r="V476" i="3"/>
  <c r="Z1" i="3"/>
  <c r="V473" i="3"/>
  <c r="V204" i="3"/>
  <c r="V316" i="3"/>
  <c r="V241" i="3"/>
  <c r="V205" i="3"/>
  <c r="P344" i="3"/>
  <c r="R276" i="1"/>
  <c r="R47" i="1"/>
  <c r="R38" i="1"/>
  <c r="R49" i="1"/>
  <c r="P215" i="3"/>
  <c r="P486" i="3"/>
  <c r="P316" i="3"/>
  <c r="R79" i="1"/>
  <c r="P269" i="3"/>
  <c r="V200" i="3"/>
  <c r="U142" i="1"/>
  <c r="R255" i="1"/>
  <c r="V20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378" authorId="0" shapeId="0" xr:uid="{00000000-0006-0000-0200-000002000000}">
      <text>
        <r>
          <rPr>
            <sz val="11"/>
            <color rgb="FF000000"/>
            <rFont val="Calibri"/>
          </rPr>
          <t xml:space="preserve">
Comment:
    Cancelled and mail sent to Shama on the 4th March, 2019</t>
        </r>
      </text>
    </comment>
  </commentList>
</comments>
</file>

<file path=xl/sharedStrings.xml><?xml version="1.0" encoding="utf-8"?>
<sst xmlns="http://schemas.openxmlformats.org/spreadsheetml/2006/main" count="5903" uniqueCount="1704">
  <si>
    <t>To be raised in</t>
  </si>
  <si>
    <t xml:space="preserve">project </t>
  </si>
  <si>
    <t>Contract Availability</t>
  </si>
  <si>
    <t>Proforma Invoice #</t>
  </si>
  <si>
    <t>invoice #</t>
  </si>
  <si>
    <t>stage</t>
  </si>
  <si>
    <t>Base</t>
  </si>
  <si>
    <t>ST</t>
  </si>
  <si>
    <t>TDS</t>
  </si>
  <si>
    <t>TDS Certificate Submitted</t>
  </si>
  <si>
    <t>SBC</t>
  </si>
  <si>
    <t>KKC</t>
  </si>
  <si>
    <t>Previous Dues</t>
  </si>
  <si>
    <t>Remarks</t>
  </si>
  <si>
    <t>Total</t>
  </si>
  <si>
    <t>Month</t>
  </si>
  <si>
    <t>FY</t>
  </si>
  <si>
    <t>GST - DEL/BLR</t>
  </si>
  <si>
    <t xml:space="preserve">date raised </t>
  </si>
  <si>
    <t>Amount to be received after taxations</t>
  </si>
  <si>
    <t>money received</t>
  </si>
  <si>
    <t>reminder sent on</t>
  </si>
  <si>
    <t xml:space="preserve">money received on </t>
  </si>
  <si>
    <t>amount pending</t>
  </si>
  <si>
    <t>contact person</t>
  </si>
  <si>
    <t>TDS Certificate Received</t>
  </si>
  <si>
    <t>Remarks- RVR</t>
  </si>
  <si>
    <t>Remarks- GR</t>
  </si>
  <si>
    <t>Remarks- PR</t>
  </si>
  <si>
    <t>GST PAYMENT</t>
  </si>
  <si>
    <t>Cancelled</t>
  </si>
  <si>
    <t>SD</t>
  </si>
  <si>
    <t>ST @12.36%</t>
  </si>
  <si>
    <t>Pallazio Hotels and Leisure Limited</t>
  </si>
  <si>
    <t>To reconcile and follow up</t>
  </si>
  <si>
    <t>Completed</t>
  </si>
  <si>
    <t>Antara Purukul Senior  Living Ltd</t>
  </si>
  <si>
    <t>SCHEMATIC DESIGN PHASE 25% OF TOTAL FEES + BALANCE SERVICE TAX ( NOT PAID WHEN ADVANCE WAS PAID)</t>
  </si>
  <si>
    <t>1st July, 2013</t>
  </si>
  <si>
    <t>11th Oct, 2013</t>
  </si>
  <si>
    <t>Mr Tarun Sejwal</t>
  </si>
  <si>
    <t>Phase - II ( 25% OF TOTAL FEES OF 12,50,000/- )</t>
  </si>
  <si>
    <t>Paid</t>
  </si>
  <si>
    <t>Project closeout</t>
  </si>
  <si>
    <t>R &amp; H SPACES PVT LTD- Courtyard Andheri</t>
  </si>
  <si>
    <t>Available</t>
  </si>
  <si>
    <t>ADVANCE 10% OF RS.11,50,000( TOTAL FEES)</t>
  </si>
  <si>
    <t>26th Aug, 2013</t>
  </si>
  <si>
    <t>KA Hospitality- Yauatcha Bangalore</t>
  </si>
  <si>
    <t>STAGE D (20% OF TOTAL CONTRACT AMOUNT : RS.4,25,000/- )</t>
  </si>
  <si>
    <t>17th Aug, 2013</t>
  </si>
  <si>
    <t>ST @ 12.36%</t>
  </si>
  <si>
    <t>STAGE -E ( 5% OF TOTAL CONTRACT OF RS. 4,25,000/-)</t>
  </si>
  <si>
    <t>4th Sep, 2013</t>
  </si>
  <si>
    <t>STAGE - F ( 10% OF TOTAL CONTRACT OF RS. 4,25,000/-)</t>
  </si>
  <si>
    <t>6th Sep, 2013</t>
  </si>
  <si>
    <t>STAGE - G ( 10% OF TOTAL CONTRACT OF RS. 4,25,000/-)</t>
  </si>
  <si>
    <t>10th Sep, 2013</t>
  </si>
  <si>
    <t>KA Hospitality- Yauatcha Delhi</t>
  </si>
  <si>
    <t>1st Sep, 2013</t>
  </si>
  <si>
    <t>STAGE - D ( 20 % OF THE TOTAL CONTRACT OF RS. 4,25,000/-)</t>
  </si>
  <si>
    <t>28th Sep, 2013</t>
  </si>
  <si>
    <t>STAGE - E ( 5% OF THE TOTAL CONTRACT OF RS. 4,25,000/-)</t>
  </si>
  <si>
    <t>9th Nov, 2013</t>
  </si>
  <si>
    <t>Paid and project completed</t>
  </si>
  <si>
    <t>15th Nov, 2013</t>
  </si>
  <si>
    <t>16th Nov, 2013</t>
  </si>
  <si>
    <t>Pending payment. To reconcile</t>
  </si>
  <si>
    <t>Travel Expenses</t>
  </si>
  <si>
    <t>Travel</t>
  </si>
  <si>
    <t>11th Sep, 2013</t>
  </si>
  <si>
    <t>25th Oct, 2013</t>
  </si>
  <si>
    <t>Malsi Estates- Max</t>
  </si>
  <si>
    <t>PHASE- IV CONSTRUCTION PHASE (20% OF BALANCE FEES OF RS. 15,72,000)</t>
  </si>
  <si>
    <t>9th Sep, 2013</t>
  </si>
  <si>
    <t>RESIDENCY RESORTS MALE PVT LTD</t>
  </si>
  <si>
    <t>Phase-1, SCHEMATIC DESIGN PHASE, Phase - II, DESIGN DEVELOPMENT STAGE ( PRO RATE OF USD 7000 )</t>
  </si>
  <si>
    <t>12000 USD</t>
  </si>
  <si>
    <t>13483 USD</t>
  </si>
  <si>
    <t>12th Sep, 2013</t>
  </si>
  <si>
    <t xml:space="preserve">USD 11069 </t>
  </si>
  <si>
    <t>18th Nov, 2013</t>
  </si>
  <si>
    <t>Paid and project ongoing</t>
  </si>
  <si>
    <t>ST applied on USD???</t>
  </si>
  <si>
    <t>SAS HOTELS AND ENTERPRISES- Madurai</t>
  </si>
  <si>
    <t>Phase-1, SCHEMATIC DESIGN PHASE 20% OF TOTAL FEES</t>
  </si>
  <si>
    <t>24th Sep, 2013</t>
  </si>
  <si>
    <t>Gopinath</t>
  </si>
  <si>
    <t>Welham Girl's School</t>
  </si>
  <si>
    <t>ADVANCE 20% &amp; SCHEMATIC DESIGN 25 % OF TOTAL FEES</t>
  </si>
  <si>
    <t>28th Oct, 2013</t>
  </si>
  <si>
    <t>21st Jan, 2014</t>
  </si>
  <si>
    <t>PHASE- IV CONSTRUCTION PHASE (20% OF BALANCE FEES OF RS. 15,72,000)
BALANCE 50,000</t>
  </si>
  <si>
    <t>ADVANCE 30% OF TOTAL FEES RS 5 LAKHS</t>
  </si>
  <si>
    <t>12th Oct, 2013</t>
  </si>
  <si>
    <t>Pending payment</t>
  </si>
  <si>
    <t>8th Nov, 2013</t>
  </si>
  <si>
    <t>ENHANCED FEES</t>
  </si>
  <si>
    <t>Phase - II ( 20% OF TOTAL FEES OF 500,000/- )</t>
  </si>
  <si>
    <t>25th Nov, 2013</t>
  </si>
  <si>
    <t>15th Feb, 2014</t>
  </si>
  <si>
    <t>Phase - II DESIGN DEV ( 25% OF TOTAL FEES OF 23,50,000</t>
  </si>
  <si>
    <t>2nd Dec, 2013</t>
  </si>
  <si>
    <t>ADVANCE 25% PHASE 1 = 25%,PHASE 2 20%, PHASE 3= 15%: TOTAL 85%</t>
  </si>
  <si>
    <t>DIANA BUILDWELL LIMITED</t>
  </si>
  <si>
    <t>ADVANCE 25% OF TOTAL FEES</t>
  </si>
  <si>
    <t>24th Dec, 2013</t>
  </si>
  <si>
    <t>7th June, 2014</t>
  </si>
  <si>
    <t>Bright Enterprises</t>
  </si>
  <si>
    <t>1st Jan, 2014</t>
  </si>
  <si>
    <t>1st Feb, 2014</t>
  </si>
  <si>
    <t>Tarun Mishra- VP</t>
  </si>
  <si>
    <t>PHASE- III CONTRACT DOCUMENT PHASE 15% OF TOTAL FEES</t>
  </si>
  <si>
    <t>27th Dec, 2013</t>
  </si>
  <si>
    <t>18th March, 2014</t>
  </si>
  <si>
    <t>Prestige Estates and Projects</t>
  </si>
  <si>
    <t>travel Expenses</t>
  </si>
  <si>
    <t>C&amp;C Hotel Venture Pvt Ltd- ALOFT BANGALORE</t>
  </si>
  <si>
    <t xml:space="preserve">ADVANCE 15% OF TOTAL FEES RS 14,00,000. </t>
  </si>
  <si>
    <t>25th Jan, 2014</t>
  </si>
  <si>
    <t>Interglobe Hotels</t>
  </si>
  <si>
    <t>ADVANCE 10% OF TOTAL FEES</t>
  </si>
  <si>
    <t>Ajay Arora</t>
  </si>
  <si>
    <t>ADVANCE 30% &amp; SCHEMATIC DESIGN 30 % OF TOTAL FEES</t>
  </si>
  <si>
    <t>29th Jan, 2014</t>
  </si>
  <si>
    <t>30th Jan, 2014</t>
  </si>
  <si>
    <t>2000 USD</t>
  </si>
  <si>
    <t>No tax applied</t>
  </si>
  <si>
    <t>PHASE- III TENDERING STATE ( 20% OF OF USD 4000, PHASE- IV TENDER EVALUATION STAGE (50% OF FEES USD 4000, PHASE- V CONSTRUCTION STAGE 50 % OF 4000</t>
  </si>
  <si>
    <t>6000 USD</t>
  </si>
  <si>
    <t>15th Jan, 2014</t>
  </si>
  <si>
    <t>INR 300160</t>
  </si>
  <si>
    <t>THE IMPERIAL HOTEL</t>
  </si>
  <si>
    <t>MOBILISATION ADVANCE 20% OF RS 7,00,000</t>
  </si>
  <si>
    <t>18th Jan, 2014</t>
  </si>
  <si>
    <t>Paid. Forget this project</t>
  </si>
  <si>
    <t>20th Feb, 2014</t>
  </si>
  <si>
    <t>8th April, 2014</t>
  </si>
  <si>
    <t>17th Feb, 2014</t>
  </si>
  <si>
    <t>5th March, 2014</t>
  </si>
  <si>
    <t>HOTEL EXCELSIOR LIMITED</t>
  </si>
  <si>
    <t>ADVANCE 20% OF TOTAL FEES OF RS 650,000 FIRST FLOOR</t>
  </si>
  <si>
    <t>Yes</t>
  </si>
  <si>
    <t>12th July, 2014</t>
  </si>
  <si>
    <t>ADVANCE 20% OF TOTAL FEES RS 650,000 GROUND FLOOR</t>
  </si>
  <si>
    <t>2nd April, 2014</t>
  </si>
  <si>
    <t>4th June, 2014</t>
  </si>
  <si>
    <t>Duplicate Invoice</t>
  </si>
  <si>
    <t>PHASE- IV CONSTRUCTION &amp; IMPLEMENTATION PHASE 10 % OF TOTAL FEES
(RS5,00,000)</t>
  </si>
  <si>
    <t>29th March, 2014</t>
  </si>
  <si>
    <t>9th April, 2014</t>
  </si>
  <si>
    <t>MS.MONIKA BATRA</t>
  </si>
  <si>
    <t>ADVANCE 30% OF TOTAL FEES RS 210000</t>
  </si>
  <si>
    <t>4th April, 2014</t>
  </si>
  <si>
    <t>12th April, 2014</t>
  </si>
  <si>
    <t>Kanakia Hotels &amp; Resorts Pvt Ltd</t>
  </si>
  <si>
    <t>DESIGN CONSULTANCY FEES COURTYARD BY MARRIOTT ANDHERI MUMBAI
SPORTS BAR &amp; KITCHEN</t>
  </si>
  <si>
    <t>8th July 2014</t>
  </si>
  <si>
    <t>SCHEMATIC DESIGN 25 % OF TOTAL FEES</t>
  </si>
  <si>
    <t>19th April, 2014</t>
  </si>
  <si>
    <t>Milind Dhawan- Project Head</t>
  </si>
  <si>
    <t>Schematic - 30% of total
DD- 25% of Total</t>
  </si>
  <si>
    <t>8TH April, 2014</t>
  </si>
  <si>
    <t>DESIGN DEVELOPMENT 25% OF TOTAL FEES</t>
  </si>
  <si>
    <t>14th April, 2014</t>
  </si>
  <si>
    <t>8th July, 2014</t>
  </si>
  <si>
    <t>FIRST FLOOR CONCEPT SCHEMATIC DESIGN 20 % OF TOTAL FEES</t>
  </si>
  <si>
    <t>22nd Aug, 2014</t>
  </si>
  <si>
    <t>R &amp; H SPACES PVT LTD- Courtyard Andheri/ Hyatt Place</t>
  </si>
  <si>
    <t>SCHEMATIC DESIGN 20% OF11,50,000 TOTAL FEES</t>
  </si>
  <si>
    <t>24th May, 2014</t>
  </si>
  <si>
    <t>3rd June, 2014</t>
  </si>
  <si>
    <t>Paid and project completed Hyatt Place Goa</t>
  </si>
  <si>
    <t>THE DUET INDIA HOTELS</t>
  </si>
  <si>
    <t>Paid and project abandoned</t>
  </si>
  <si>
    <t>14th July, 2014</t>
  </si>
  <si>
    <t>To check wihich is pending, I am confused</t>
  </si>
  <si>
    <t>19th June, 2014</t>
  </si>
  <si>
    <t>UFLEX LIMITED</t>
  </si>
  <si>
    <t>SCHEMATIC STAGE 50% OF TOTAL FEES RS 200000
DESIGN DEVELOPMENT STAGE 50% OF TOTAL FEES RS 200000</t>
  </si>
  <si>
    <t>16th June, 2014</t>
  </si>
  <si>
    <t>23rd June, 2014</t>
  </si>
  <si>
    <t>Sanjeev Oberoi</t>
  </si>
  <si>
    <t>RIL DAICEC</t>
  </si>
  <si>
    <t>SCHEMATIC STAGE (20% OF TOTAL FEES RS 61,50,000)</t>
  </si>
  <si>
    <t>16th July 2014</t>
  </si>
  <si>
    <t>31st July, 2014</t>
  </si>
  <si>
    <t>Paid, prateek to reconcile</t>
  </si>
  <si>
    <t>9th July, 2014</t>
  </si>
  <si>
    <t>24th July, 2014</t>
  </si>
  <si>
    <t>THE DUET INDIA HOTELS (CHENNAI OMR) PVT LTD</t>
  </si>
  <si>
    <t>DESIGN DEVELOPMENT STAGE 25% OF TOTAL FEES RS 600000, SCHEMATIC DESIGN PENDING</t>
  </si>
  <si>
    <t>18th July, 2014</t>
  </si>
  <si>
    <t>Prokect abandoned</t>
  </si>
  <si>
    <t>3rd July, 2014</t>
  </si>
  <si>
    <t>SHARMA LIMITED</t>
  </si>
  <si>
    <t>SCHEMATIC DESIGN 15 % OF TOTAL FEES USD 32500</t>
  </si>
  <si>
    <t>4875 USD</t>
  </si>
  <si>
    <t>28th Nov, 2014</t>
  </si>
  <si>
    <t>USD 4868</t>
  </si>
  <si>
    <t>5th Dec, 2014</t>
  </si>
  <si>
    <t>Paid and project on hold</t>
  </si>
  <si>
    <t>DESIGN DEVELOPMENT 20% OF TOTAL FEES</t>
  </si>
  <si>
    <t>25th July, 2014</t>
  </si>
  <si>
    <t>19th Aug, 2014</t>
  </si>
  <si>
    <t>CONTRACT DOCUMENT PHASE 20 % OF TOTAL FEES</t>
  </si>
  <si>
    <t>16th Aug, 2014</t>
  </si>
  <si>
    <t>28th Aug, 2014</t>
  </si>
  <si>
    <t>Lavender InfraproJects Pvt. Ltd.- COURT YARD MARRIOTT NEHRU
PLACE</t>
  </si>
  <si>
    <t>SCHEMATIC DESIGN 30 % OF TOTAL FEES RS. 18,00,000</t>
  </si>
  <si>
    <t>Project abandoned</t>
  </si>
  <si>
    <t>CONTRACT DOCUMENT PHASE 10 % OF TOTAL FEES RS 210000
REVIEW PHASE DURING CONSTRUCTION 5 % OF TOTAL FEES RS 210000</t>
  </si>
  <si>
    <t>8th Nov, 2014</t>
  </si>
  <si>
    <t>20th Nov, 2014</t>
  </si>
  <si>
    <t>SCHEMATIC DESIGN FEES FOR ALOFT BANGALORE PROJECT 30 % OF TOTAL
CONTRACT VALUE RS 14,00,000</t>
  </si>
  <si>
    <t>PHASE- III TENDERING STATE ( 10% OF TOTAL FEES OF RS. 6,00,000</t>
  </si>
  <si>
    <t>20th Sep, 2014</t>
  </si>
  <si>
    <t>TENDER STAGE 10 % OF RS 6,00,000</t>
  </si>
  <si>
    <t>11th Oct, 2014</t>
  </si>
  <si>
    <t>1st Dec, 2014</t>
  </si>
  <si>
    <t>Dasaprakash</t>
  </si>
  <si>
    <t>DESIGN PACKAGE FOR UNDER RAMP KITCHEN, FOUR WALKWAY MODULES,AND
BUS BAY BOULEVARD COUNTER ALL LAYOUTS SERVICES CIVIL, INTERIOR
STRUCTURE, SERVICES AND EQUIPMENT COORDINATION &amp; ALL SPECIFICATIONS</t>
  </si>
  <si>
    <t>27th Nov, 2014</t>
  </si>
  <si>
    <t>Theory of relativity</t>
  </si>
  <si>
    <t>22nd Dec, 2014</t>
  </si>
  <si>
    <t>9th Jan, 2015</t>
  </si>
  <si>
    <t>DESIGN PACKAGE BUS BAY BOULEVARD COUNTER ALL LAYOUTS SERVICES CIVIL,
INTERIOR STRUCTURE, SERVICES AND EQUIPMENT COORDINATION &amp; ALL
SPECIFICATIONS.</t>
  </si>
  <si>
    <t>23rd Dec, 2014</t>
  </si>
  <si>
    <t>SCHEMATIC DESIGN 25 % OF TOTAL FEES RS.7,00,000/</t>
  </si>
  <si>
    <t>6th Feb, 2015</t>
  </si>
  <si>
    <t>5th March, 2015</t>
  </si>
  <si>
    <t>Partially paid and project abandoned</t>
  </si>
  <si>
    <t>AIZAIBA HOTEL MUSCAT</t>
  </si>
  <si>
    <t>PHASE- IV CONSTRUCTION PHASE</t>
  </si>
  <si>
    <t>11th June, 2015</t>
  </si>
  <si>
    <t>16th June, 2015</t>
  </si>
  <si>
    <t>P.J Mammen</t>
  </si>
  <si>
    <t>16th Jan. 2015</t>
  </si>
  <si>
    <t>CONSTRUCTION &amp; IMPLEMENTATION PHASE 15% OF TOTAL FEES OF RS 6,50,000
BALANCE ON COMMENCEMENT OF OPERATIONS 5 % OF TOTAL FEES OF RS 6,50,000</t>
  </si>
  <si>
    <t>24th Feb, 2015</t>
  </si>
  <si>
    <t>MAGMA CONSULTANTS</t>
  </si>
  <si>
    <t>1426 USD</t>
  </si>
  <si>
    <t>21st Feb, 2015</t>
  </si>
  <si>
    <t>Retainer Fee</t>
  </si>
  <si>
    <t>25th Feb, 2013</t>
  </si>
  <si>
    <t>PHASE- IV CONSTRUCTION SUPPORT PHASE 15% OF TOTAL FEES RS. 11,50,000)</t>
  </si>
  <si>
    <t>7th April, 2015</t>
  </si>
  <si>
    <t>PHASE- III FINAL PLANS &amp; TENDERING STAGE ( 20% OF TOTAL FEES OF RS. 23,00,000)</t>
  </si>
  <si>
    <t>6th April, 2015</t>
  </si>
  <si>
    <t>9th June, 2015</t>
  </si>
  <si>
    <t>PHASE 1 ADDITIONAL FEES SCHEMATIC 35 % OF TOTAL FEES RS 5,50,000</t>
  </si>
  <si>
    <t>21st Aug, 2017</t>
  </si>
  <si>
    <t>To reconcile and check all payments</t>
  </si>
  <si>
    <t>ADDITIONAL FEES DESIGN DEVELOPMENT RS 5,50,000</t>
  </si>
  <si>
    <t>22nd April, 2015</t>
  </si>
  <si>
    <t>SCHEMATIC DESIGN 20 % OF TOTAL FEES OF RS 6,50,000</t>
  </si>
  <si>
    <t>2nd June, 2015</t>
  </si>
  <si>
    <t>Tender Documentation Stage</t>
  </si>
  <si>
    <t>4000 USD</t>
  </si>
  <si>
    <t>19th April, 2015</t>
  </si>
  <si>
    <t>Requested Fee Enhancement</t>
  </si>
  <si>
    <t>USD 10460</t>
  </si>
  <si>
    <t>3000 USD</t>
  </si>
  <si>
    <t>Partially paid and project completed. To reconcile</t>
  </si>
  <si>
    <t>DESIGN DEVELOPMENT STAGE 20% OF TOTAL FEES RS 6,50,000</t>
  </si>
  <si>
    <t xml:space="preserve">PHASE- III TENDERING STATE ( 15% OF TOTAL FEES OF RS. 2350000 </t>
  </si>
  <si>
    <t>17th June, 2015</t>
  </si>
  <si>
    <t xml:space="preserve">            360819.00</t>
  </si>
  <si>
    <t>To reconcile this as partially paid. I have an email giving partially info</t>
  </si>
  <si>
    <t>PHASE- III TENDERING STATE ( 15% OF TOTAL FEES OF RS. 2350000 = INR 352500)
Advance Adjustment ADD- INR 399500)</t>
  </si>
  <si>
    <t>ADDITIONAL FEES TENDERING STAGE 30 % OF RS 550000</t>
  </si>
  <si>
    <t>23rd May, 2015</t>
  </si>
  <si>
    <t>Paid maybe I think</t>
  </si>
  <si>
    <t>Heritage River Journeys Private Limited.</t>
  </si>
  <si>
    <t>Advance</t>
  </si>
  <si>
    <t>8th May, 2015</t>
  </si>
  <si>
    <t>21st May, 2015</t>
  </si>
  <si>
    <t>BODYSCULPT BANGALORE</t>
  </si>
  <si>
    <t>Mobilization 50% of Rs.16,00,000</t>
  </si>
  <si>
    <t>22nd May, 2015</t>
  </si>
  <si>
    <t>Heritage River Cruises</t>
  </si>
  <si>
    <t>SCHEMATIC &amp; DESIGN DEVELOPMENT FEES</t>
  </si>
  <si>
    <t>6th June, 2015</t>
  </si>
  <si>
    <t>DESIGN DEVELOPMENT BALANCE DUE  PHASE- III TENDERING STATE BALANCE
PHASE- IV TENDER EVALUATION BALANCE DUE</t>
  </si>
  <si>
    <t>USD 6000</t>
  </si>
  <si>
    <t>8th June, 2015</t>
  </si>
  <si>
    <t>To reconcile. I have a document showing paid etc Project completed</t>
  </si>
  <si>
    <t>COSMOS BUILDWELL PVT LTD- Barwara</t>
  </si>
  <si>
    <t>Mobilization Advance</t>
  </si>
  <si>
    <t>Paid and project ongoing. I have fees breakup</t>
  </si>
  <si>
    <t>RUPAL R.KANAKIA- Laundry</t>
  </si>
  <si>
    <t>DD Total</t>
  </si>
  <si>
    <t>15th June, 2015</t>
  </si>
  <si>
    <t>11th Aug 2015 and 7th Oct 2015</t>
  </si>
  <si>
    <t>Need to check if this was paid</t>
  </si>
  <si>
    <t>50000 written off</t>
  </si>
  <si>
    <t>30th June, 2015</t>
  </si>
  <si>
    <t>14th Aug, 2015</t>
  </si>
  <si>
    <t>CONTRACT DOCUMENT PHASE</t>
  </si>
  <si>
    <t>24th Aug, 2015</t>
  </si>
  <si>
    <t>To reconcile and check</t>
  </si>
  <si>
    <t>ITC LIMITED- Narmada</t>
  </si>
  <si>
    <t>ON SIGNING AGREEMENT 10% OF INR 20,64,000/</t>
  </si>
  <si>
    <t>22nd Sep, 2015</t>
  </si>
  <si>
    <t>1st Oct, 2015</t>
  </si>
  <si>
    <t>Lemon Tree Premier</t>
  </si>
  <si>
    <t>SCHEMATIC/PRELIMNARY DESIGN STAGE 25 % OF TOTAL FEES</t>
  </si>
  <si>
    <t>8th Aug, 2015</t>
  </si>
  <si>
    <t>DESIGN &amp; DEVELOPMENT PACKAGE 40 % OF TOTAL FEES</t>
  </si>
  <si>
    <t>SCHEMATIC DESIGN 15 % OF TOTAL FEES</t>
  </si>
  <si>
    <t>7th Aug, 2015</t>
  </si>
  <si>
    <t>12th Aug, 2015</t>
  </si>
  <si>
    <t>TENDERING STAGE 15 % OF TOTAL FEES</t>
  </si>
  <si>
    <t>13th Sep, 2015</t>
  </si>
  <si>
    <t>Paid and Project completed</t>
  </si>
  <si>
    <t>1st Dec, 2015</t>
  </si>
  <si>
    <t>SCHEMATIC DESIGN 12,000 USD</t>
  </si>
  <si>
    <t>USD 12000</t>
  </si>
  <si>
    <t>29th Sep, 2015</t>
  </si>
  <si>
    <t>DESIGN DEVELOPMENT STAGE 20% OF TOTAL FEES RS 16,00,000
EQUIPMENTS SPECIFICATIONS STAGE 10% OF TOTAL FEES RS 16,00,000</t>
  </si>
  <si>
    <t>6th Oct, 2015</t>
  </si>
  <si>
    <t>25th Nov, 2015</t>
  </si>
  <si>
    <t>To recheck</t>
  </si>
  <si>
    <t>SD, DD (HOH)</t>
  </si>
  <si>
    <t>16h Oct, 2015</t>
  </si>
  <si>
    <t>15th Dec, 2015</t>
  </si>
  <si>
    <t>Paid but to recheck all these</t>
  </si>
  <si>
    <t>INFOSYS POCHARAM HYDERABAD</t>
  </si>
  <si>
    <t>27th Nov, 2015</t>
  </si>
  <si>
    <t>30th Nov, 2015</t>
  </si>
  <si>
    <t>Paid and Project completed, Last payment is pending</t>
  </si>
  <si>
    <t>Prestige Estates &amp; Construction 1</t>
  </si>
  <si>
    <t>8th Dec, 2015</t>
  </si>
  <si>
    <t>3rd Jan, 2016</t>
  </si>
  <si>
    <t>18th Jan, 2016</t>
  </si>
  <si>
    <t>CONCEPT DESIGN PHASE 25% OF TOTAL FEES INR 20,64,000</t>
  </si>
  <si>
    <t>ST @14% and SBT @ 0.5%</t>
  </si>
  <si>
    <t>11th Jan, 2016</t>
  </si>
  <si>
    <t>TDS deducted on ST as well</t>
  </si>
  <si>
    <t>DESIGN DEVELOPMENT STAGE 20% OF TOTAL FEES RS 25,00,000
SERVICES INCORPORATION STAGE 10 % OF TOTAL FEES RS 25,00,000</t>
  </si>
  <si>
    <t>14th Feb, 2016</t>
  </si>
  <si>
    <t>31st March, 2016</t>
  </si>
  <si>
    <t>POST WORK SUBMISSION 10% OF INR 11,50,000</t>
  </si>
  <si>
    <t>1st April, 2016</t>
  </si>
  <si>
    <t>SERVICES INCORPORATION STAGE
EQUIPMENT SELECTION REVIEW PHASE 
ONE NUMBER AFTER 2 REVISIONS MAIN DECK</t>
  </si>
  <si>
    <t>22nd Feb, 2016</t>
  </si>
  <si>
    <t>22nd April, 2016</t>
  </si>
  <si>
    <t>Partially paid and project completed</t>
  </si>
  <si>
    <t>TENDER EVALUATION 10 % OF TOTAL FEES INR 15,70,000
BALANCE COMMISSIONING 10 % OF TOTAL FEES OF RS 15,70,000</t>
  </si>
  <si>
    <t>29th Feb, 2016</t>
  </si>
  <si>
    <t>K.RAHEJA CORP PVT LTD- The Resort</t>
  </si>
  <si>
    <t>ADVANCE MOBILIZATION FEES 20% OF TOTAL FEES INR 17,00,000/=</t>
  </si>
  <si>
    <t>21st April, 2016</t>
  </si>
  <si>
    <t>2016-17</t>
  </si>
  <si>
    <t>26th April, 2016</t>
  </si>
  <si>
    <t>14th June, 2016</t>
  </si>
  <si>
    <t>Payment is pending to check bank account</t>
  </si>
  <si>
    <t>ST @14% and SBT @ 0.5%, KK @ 0.5%</t>
  </si>
  <si>
    <t>4th Sep, 2016</t>
  </si>
  <si>
    <t>Duplicate Invoice. Same as 10153</t>
  </si>
  <si>
    <t>DESIGN DEVELOPMENT STAGE USD 12000</t>
  </si>
  <si>
    <t>16th July, 2016</t>
  </si>
  <si>
    <t>USD 11941 (INR  792702)</t>
  </si>
  <si>
    <t>26th July, 2016</t>
  </si>
  <si>
    <t>DESIGN DEVELOPMENT 25 % OF TOTAL FEES</t>
  </si>
  <si>
    <t>25th Feb, 2017</t>
  </si>
  <si>
    <t>6th May, 2017</t>
  </si>
  <si>
    <t>Travel reimbursement - Ref Invoice 10159 also settled</t>
  </si>
  <si>
    <t>DIANA BUILDWELL LIMITED- To be cancelled</t>
  </si>
  <si>
    <t>Construction and Implementation</t>
  </si>
  <si>
    <t>23rd July, 2016</t>
  </si>
  <si>
    <t>16th May, 2017</t>
  </si>
  <si>
    <t>Last payment is pending</t>
  </si>
  <si>
    <t>THEOBROMA FOODS PVT LTD MUMBAI- TCPK</t>
  </si>
  <si>
    <t>On signing the agreement 10 % of INR 20,00,000</t>
  </si>
  <si>
    <t>15th Sep, 2016</t>
  </si>
  <si>
    <t>5th Sep, 2016</t>
  </si>
  <si>
    <t>19th Oct, 2016</t>
  </si>
  <si>
    <t>Equipment Review and Coordination, Mobilzation Pending</t>
  </si>
  <si>
    <t>13th Sep, 2016</t>
  </si>
  <si>
    <t>17th July, 2017</t>
  </si>
  <si>
    <t>CHALET HOTELS ( P ) LTD- Renaissance Mumbai</t>
  </si>
  <si>
    <t>COMMENCEMENT OF SERVICES 10 % OF INR 25,00,000</t>
  </si>
  <si>
    <t>15th Oct, 2015</t>
  </si>
  <si>
    <t>1st Oct, 2016</t>
  </si>
  <si>
    <t>VOMMULLI MALDIVES PROJECTS RESIDENCY GROUP</t>
  </si>
  <si>
    <t>DESIGN DEVELOPMENT STAGE</t>
  </si>
  <si>
    <t>Project completed, last payment is pending. To reconcile</t>
  </si>
  <si>
    <t>R &amp; H SPACES PVT LTD- Courtyard Andheri/ Hyatt Place- Stilt-  remaining 2 L raised as raised as 10190, Reraised as 10213</t>
  </si>
  <si>
    <t>Design Consultancy Fee Stilt and Café Areas</t>
  </si>
  <si>
    <t>6th Sep, 2016</t>
  </si>
  <si>
    <t>18th April, 2017 by Courier</t>
  </si>
  <si>
    <t>Pending payment, to reconcile</t>
  </si>
  <si>
    <t>RUPAL R.KANAKIA- Wine Cellar and Pantry- Cancelled- Reraised as 10189</t>
  </si>
  <si>
    <t>Full</t>
  </si>
  <si>
    <t>20th Jan 2017</t>
  </si>
  <si>
    <t>26th June. 2015</t>
  </si>
  <si>
    <t>R &amp; H Spaces Pvt. Ltd</t>
  </si>
  <si>
    <t>23rd April, 2015</t>
  </si>
  <si>
    <t>Design Development</t>
  </si>
  <si>
    <t>ST @ 14%</t>
  </si>
  <si>
    <t>21st Aug, 2015</t>
  </si>
  <si>
    <t>DESIGN DEVELOPMENT-2</t>
  </si>
  <si>
    <t>10th Oct, 2015</t>
  </si>
  <si>
    <t>Same as 10106</t>
  </si>
  <si>
    <t>CARLSON HOTELS</t>
  </si>
  <si>
    <t>Finder's Fee</t>
  </si>
  <si>
    <t>18th July, 2015</t>
  </si>
  <si>
    <t>Partially paid, these guys are crooks</t>
  </si>
  <si>
    <t>11th Sep, 2015</t>
  </si>
  <si>
    <t>25th Aug, 2016</t>
  </si>
  <si>
    <t>11th Nov, 2016</t>
  </si>
  <si>
    <t>THEOBROMA FOODS PVT LTD MUMBAI</t>
  </si>
  <si>
    <t>15th Oct, 2016</t>
  </si>
  <si>
    <t>3rd Nov, 2016</t>
  </si>
  <si>
    <t>31st Oct, 2016</t>
  </si>
  <si>
    <t>10th Nov, 2016</t>
  </si>
  <si>
    <t>THEOBROMA FOODS PVT LTD MUMBAI: PROJECT DLF CYBERHUB GURGAON</t>
  </si>
  <si>
    <t>N SIGNING AGREEMENT 15 % OF TOTAL FEES OF INR 6,00,000
CONCEPT DESIGN PHASE 20% OF TOTAL FEES INR 6,00,000/
SCHEMATIC DESIGN 15 % OF TOTAL FEES INR 6,00,000
DESIGN DEVELOPMENT 15% OF TOTAL FEES INR 6,00,000
TENDER DOCUMENTATION STAGE 10% OF TOTAL FEES INR 6,00,000</t>
  </si>
  <si>
    <t>12th Dec, 2016</t>
  </si>
  <si>
    <t>17th Nov, 2016</t>
  </si>
  <si>
    <t>R &amp; H SPACES PVT LTD- Courtyard Andheri/ Hyatt Place- Café Area</t>
  </si>
  <si>
    <t>Design Consultancy fee café area</t>
  </si>
  <si>
    <t>29th Nov, 2016</t>
  </si>
  <si>
    <t>Pending payment. Again raise revised invoice</t>
  </si>
  <si>
    <t>REVISED ADDITIONAL AIR FARE MUMBAI DELHI 22ND DECEMBER 2016 PRATEEK &amp;
RAMVITTAL RAO</t>
  </si>
  <si>
    <t>23rd Dec, 2016</t>
  </si>
  <si>
    <t>ISHA STEEL TREATMENT PRIVATE LIMITED- Ibis Vikhroli</t>
  </si>
  <si>
    <t>COMPENSATION OF EXTENDED DURATION : LUMP SUM INR 5,00,000/-</t>
  </si>
  <si>
    <t>10th Jan, 2017</t>
  </si>
  <si>
    <t>17th Jan, 2017</t>
  </si>
  <si>
    <t>6th Jan, 2017</t>
  </si>
  <si>
    <t>16th Jan, 2017</t>
  </si>
  <si>
    <t>CONCEPTUAL DESIGN PHASE 15% OF TOTAL FEES USD 81,000</t>
  </si>
  <si>
    <t>USD 12150</t>
  </si>
  <si>
    <t>18th Feb, 2017</t>
  </si>
  <si>
    <t>USD 12103 ( INR 759844</t>
  </si>
  <si>
    <t>28th Feb, 2017</t>
  </si>
  <si>
    <t>Kanakia Hotels &amp; Resorts Pvt Ltd- PROJECT COURTYARD MARRIOTT
ANDHERI : INDIAN RESTAURANT</t>
  </si>
  <si>
    <t>8th March, 2017</t>
  </si>
  <si>
    <t>ITC Limited- Fabelle</t>
  </si>
  <si>
    <t>On Signing of agreement</t>
  </si>
  <si>
    <t>24th Feb, 2017</t>
  </si>
  <si>
    <t>3rd March, 2017</t>
  </si>
  <si>
    <t>5th Feb, 2017</t>
  </si>
  <si>
    <t>16th Feb, 2017</t>
  </si>
  <si>
    <t>To check if paid</t>
  </si>
  <si>
    <t>7th May, 2017</t>
  </si>
  <si>
    <t>12th May, 2017</t>
  </si>
  <si>
    <t>Halton UK Travel Reimburseables</t>
  </si>
  <si>
    <t>23rd April, 2017</t>
  </si>
  <si>
    <t>Reach Promoters Pvt Ltd</t>
  </si>
  <si>
    <t>3rd Feb, 2017</t>
  </si>
  <si>
    <t>Shop Drawings, Construction, Testing Commissioning, Handover period</t>
  </si>
  <si>
    <t>13th Feb, 2017</t>
  </si>
  <si>
    <t>10th April, 2017</t>
  </si>
  <si>
    <t>13th April, 2017</t>
  </si>
  <si>
    <t>Farokh Messman</t>
  </si>
  <si>
    <t xml:space="preserve">Concept Design 10% OF TOTAL FEES INR 20,00,000
Schematic Design 10 % OF TOTAL FEES INR 20,00,000
</t>
  </si>
  <si>
    <t>19th April, 2017</t>
  </si>
  <si>
    <t>Pending Payment</t>
  </si>
  <si>
    <t>Partial payment</t>
  </si>
  <si>
    <t>CARLSON HOTELS CDMA</t>
  </si>
  <si>
    <t>27th Jan, 2017</t>
  </si>
  <si>
    <t>Partially paid, these guys are crooks. To check emails</t>
  </si>
  <si>
    <t>EIH Ltd- OFS</t>
  </si>
  <si>
    <t>Upon commencement of services</t>
  </si>
  <si>
    <t>12th April, 2017</t>
  </si>
  <si>
    <t>24th April, 2017</t>
  </si>
  <si>
    <t>Kanakia Hotels &amp; Resorts Pvt Ltd- PROJECT COURTYARD MARRIOTT
ANDHERI : INDIAN RESTAURANT- Cancelled- Reraised as 10185</t>
  </si>
  <si>
    <t>Upon commencement of services
Conceptual Design</t>
  </si>
  <si>
    <t>Construction and Post Construction Phase- 5% of Total USD 40000
Testing and Commissioning- 10% of Total USD 40000</t>
  </si>
  <si>
    <t>4th May, 2017</t>
  </si>
  <si>
    <t>USD 5988</t>
  </si>
  <si>
    <t>DD and TD</t>
  </si>
  <si>
    <t>13th May, 2017</t>
  </si>
  <si>
    <t>25th May, 2017</t>
  </si>
  <si>
    <t>Developing detailed block loads
Design for food courts dish and pot wash, janitor's closet and advise on food court service ops</t>
  </si>
  <si>
    <t>29th May, 2017</t>
  </si>
  <si>
    <t>7th July, 2017</t>
  </si>
  <si>
    <t>Phase 3- Final Plans and Tender stage- 20%</t>
  </si>
  <si>
    <t>5th May, 2017</t>
  </si>
  <si>
    <t>6th July, 2017</t>
  </si>
  <si>
    <t>TDS deducted on ST aswell</t>
  </si>
  <si>
    <t>Phase 2- Schematic Stage</t>
  </si>
  <si>
    <t>9th May, 2017</t>
  </si>
  <si>
    <t>19th May, 2017, 29th May, 2017</t>
  </si>
  <si>
    <t>4th Sep, 2017</t>
  </si>
  <si>
    <t>Stage 2- Conceptual Design (15% of INR 2500000)
Phase 3- Schematic Designs (15% of INR 2500000)</t>
  </si>
  <si>
    <t>10th May, 2017</t>
  </si>
  <si>
    <t>3rd July, 2017</t>
  </si>
  <si>
    <t>Concept Design and Equiment Selection</t>
  </si>
  <si>
    <t>16th June, 2017</t>
  </si>
  <si>
    <t>Concept Stage 30% of Total Fee of INR 210000</t>
  </si>
  <si>
    <t>Construction and review phase @ 5% of 16L
Additional areas redisign- INR 680000</t>
  </si>
  <si>
    <t>18th April, 2017</t>
  </si>
  <si>
    <t>DD and TD-Remainder of 10% and 5 %</t>
  </si>
  <si>
    <t>20TH May, 2017</t>
  </si>
  <si>
    <t>30th May, 2017</t>
  </si>
  <si>
    <t xml:space="preserve">CD </t>
  </si>
  <si>
    <t>GST @ 18%</t>
  </si>
  <si>
    <t>1st Aug, 2017</t>
  </si>
  <si>
    <t>2nd Aug, 2017</t>
  </si>
  <si>
    <t>Kanakia Hotels &amp; Resorts Pvt Ltd- PROJECT COURTYARD MARRIOTT
ANDHERI : INDIAN RESTAURANT (Reraised 10171)</t>
  </si>
  <si>
    <t>Commencement-120000
Conceptual Design- 250000</t>
  </si>
  <si>
    <t>24th april, 2017</t>
  </si>
  <si>
    <t>4th July, 2017</t>
  </si>
  <si>
    <t>26th June, 2017</t>
  </si>
  <si>
    <t>30th June, 2017</t>
  </si>
  <si>
    <t>DIANA BUILDWELL LIMITED- Regenerated Invoice 10138</t>
  </si>
  <si>
    <t>19th Aug, 2017</t>
  </si>
  <si>
    <t>All payments cleared</t>
  </si>
  <si>
    <t>Schematic design- 250000
Design Development- 250000 (Should be 200000)</t>
  </si>
  <si>
    <t>28th June, 2017</t>
  </si>
  <si>
    <t>18th Sep, 2017</t>
  </si>
  <si>
    <t>RUPAL R.KANAKIA- Royal Manor F&amp;B Design</t>
  </si>
  <si>
    <t>Design Consultancy Fees (50% of Total of INR 4,00,000)</t>
  </si>
  <si>
    <t>29th July, 2017</t>
  </si>
  <si>
    <t xml:space="preserve">R &amp; H SPACES PVT LTD-Hyatt Place- </t>
  </si>
  <si>
    <t>Design Consultancy Fee Hyatt Stilt Area</t>
  </si>
  <si>
    <t>R &amp; H SPACES PVT LTD-Hyatt Place- to be cancelled as sum of INR 8L raised between 10145 and 10190</t>
  </si>
  <si>
    <t>Design Consultancy Fee Hyatt Café Area</t>
  </si>
  <si>
    <t>7th Aug, 2017</t>
  </si>
  <si>
    <t>11th July, 2017</t>
  </si>
  <si>
    <t>18th July, 2017</t>
  </si>
  <si>
    <t>As per Nergish, previous TDS deducted</t>
  </si>
  <si>
    <t>For Works post completion of contract in  April- July 2017 (2.5L pm)</t>
  </si>
  <si>
    <t>7th Sep, 2017</t>
  </si>
  <si>
    <t>Belgravia</t>
  </si>
  <si>
    <t>14th July, 2017</t>
  </si>
  <si>
    <t>17th Aug, 2017</t>
  </si>
  <si>
    <t>Coordination for first module</t>
  </si>
  <si>
    <t>21st July, 2017</t>
  </si>
  <si>
    <t>1st Sep, 2017</t>
  </si>
  <si>
    <t>23rd Aug, 2017</t>
  </si>
  <si>
    <t>DD</t>
  </si>
  <si>
    <t>5th Sep, 2017</t>
  </si>
  <si>
    <t>TD</t>
  </si>
  <si>
    <t>19th Sep, 2017</t>
  </si>
  <si>
    <t>Tender Documentation- INR 100000
Tender Evaluation- INR 120000</t>
  </si>
  <si>
    <t>25th Aug, 2017</t>
  </si>
  <si>
    <t>7th Nov, 2017</t>
  </si>
  <si>
    <t>2017-18</t>
  </si>
  <si>
    <t>10th Aug, 2017</t>
  </si>
  <si>
    <t>11th May, 2018</t>
  </si>
  <si>
    <t>Antara Purukul Senior  Living Ltd- Cancelled</t>
  </si>
  <si>
    <t>Shorpayment for Tender Evaluation and Construction (Invoice 10108)</t>
  </si>
  <si>
    <t>Advance Adjustments</t>
  </si>
  <si>
    <t>Approval of Shop Drawings, Fabrication and Other Drawings- 10%</t>
  </si>
  <si>
    <t>14th Aug, 2017</t>
  </si>
  <si>
    <t>22nd Aug, 2017</t>
  </si>
  <si>
    <t>Schematic Design</t>
  </si>
  <si>
    <t>22nd Sep, 2017</t>
  </si>
  <si>
    <t>Bhartiya Leela</t>
  </si>
  <si>
    <t>Schematic Design Stage (15% of INR 12,00,000)</t>
  </si>
  <si>
    <t>31st Aug, 2017</t>
  </si>
  <si>
    <t>21st Dec, 2017</t>
  </si>
  <si>
    <t>Schematic Design (10%)</t>
  </si>
  <si>
    <t>28th Sep, 2017</t>
  </si>
  <si>
    <t>For Works post completion of contract in  Aug 2017</t>
  </si>
  <si>
    <t>29th Nov, 2017</t>
  </si>
  <si>
    <t>BAS House- The Delhi Guest Houses Pvt. Ltd</t>
  </si>
  <si>
    <t>Advance- INR 37500
Scematics- INR 37500</t>
  </si>
  <si>
    <t>15th Sep, 2017</t>
  </si>
  <si>
    <t>26th Sep, 2017</t>
  </si>
  <si>
    <t>14th Sep, 2017</t>
  </si>
  <si>
    <t>28th March, 2018</t>
  </si>
  <si>
    <t>R &amp; H SPACES PVT LTD- Courtyard Andheri/ Hyatt Place- Stilt- 10145 Reraised</t>
  </si>
  <si>
    <t>2nd Nov, 2017 and 7th Nov, 2017</t>
  </si>
  <si>
    <t>DD (FOH)</t>
  </si>
  <si>
    <t>30th Dec, 2017</t>
  </si>
  <si>
    <t>Tender Documentation</t>
  </si>
  <si>
    <t>18th Oct, 2017</t>
  </si>
  <si>
    <t>Design Development- INR 37500
Tender Documentation- INR 37500</t>
  </si>
  <si>
    <t>3rd Oct, 2017</t>
  </si>
  <si>
    <t>12th Oct, 2017</t>
  </si>
  <si>
    <t>EXXPEDYT INTEGRATED AMENITIES
PRIVATE LIMITED</t>
  </si>
  <si>
    <t>25th Oct, 2017</t>
  </si>
  <si>
    <t>2nd Nov, 2017</t>
  </si>
  <si>
    <t>Design Development (20%)</t>
  </si>
  <si>
    <t>Phase 4- Design Development (20% of INR 25,00,000)</t>
  </si>
  <si>
    <t>12th Dec, 2017</t>
  </si>
  <si>
    <t>Tender Documentation Stage (15% of INR 25,00,000)</t>
  </si>
  <si>
    <t>4th Nov, 2017</t>
  </si>
  <si>
    <t>Design Development (30% of Total Fees)</t>
  </si>
  <si>
    <t>20th Nov, 2017</t>
  </si>
  <si>
    <t>Tender Documentation (25% of Total Fees)</t>
  </si>
  <si>
    <t>Phase 4- Construction (10% of Total Fee of INR 17,00,000)</t>
  </si>
  <si>
    <t>8th Feb, 2018</t>
  </si>
  <si>
    <t>Contract Expired in April 2017</t>
  </si>
  <si>
    <t>Design Consultancy- Part 2</t>
  </si>
  <si>
    <t>23rd Nov, 2017</t>
  </si>
  <si>
    <t>1st Dec, 2017</t>
  </si>
  <si>
    <t>Kunal Structure India Pvt. Ltd- Leela Gandhinagar</t>
  </si>
  <si>
    <t>On Commencement</t>
  </si>
  <si>
    <t>3rd Dec, 2017</t>
  </si>
  <si>
    <t>18th Jan, 2018</t>
  </si>
  <si>
    <t>Belgravia Cancelled</t>
  </si>
  <si>
    <t>Tender Evaluation</t>
  </si>
  <si>
    <t>7th Dec, 2017</t>
  </si>
  <si>
    <t>Services Provided during Construction</t>
  </si>
  <si>
    <t>Completion of Construction (10%)</t>
  </si>
  <si>
    <t>30th Jan, 2018</t>
  </si>
  <si>
    <t>Stage 1</t>
  </si>
  <si>
    <t>4th Jan, 2018</t>
  </si>
  <si>
    <t>22nd Feb, 2018</t>
  </si>
  <si>
    <t>Testing and Commissioning</t>
  </si>
  <si>
    <t>10th Jan, 2018</t>
  </si>
  <si>
    <t>Travel Invoice</t>
  </si>
  <si>
    <t>12th Jan, 2018</t>
  </si>
  <si>
    <t>19th Jan, 2018</t>
  </si>
  <si>
    <t>COSMOS BUILDWELL PVT LTD- Barwara- Cancelled</t>
  </si>
  <si>
    <t>Final Plans and Tender (HOH+FOH) (=314663+ 125337)</t>
  </si>
  <si>
    <t>11th Jan, 2018</t>
  </si>
  <si>
    <t>Construction Support (HOH+FOH) (78666+31334)</t>
  </si>
  <si>
    <t>THEOBROMA FOODS PVT LTD MUMBAI- TCPK- Cancelled</t>
  </si>
  <si>
    <t>Testing, Commissioning and Hand Over 10%</t>
  </si>
  <si>
    <t>Oberoi Bandhavgarh</t>
  </si>
  <si>
    <t>Upon Commencement of Services</t>
  </si>
  <si>
    <t>23rd Jan, 2018</t>
  </si>
  <si>
    <t>7th Feb, 2018</t>
  </si>
  <si>
    <t>Travel Sep</t>
  </si>
  <si>
    <t>25th Jan, 2018</t>
  </si>
  <si>
    <t>Schematics</t>
  </si>
  <si>
    <t>1ST Feb, 2018</t>
  </si>
  <si>
    <t>Travel Feb</t>
  </si>
  <si>
    <t>6th March, 2018</t>
  </si>
  <si>
    <t xml:space="preserve">Conceptual Design </t>
  </si>
  <si>
    <t>2018-19</t>
  </si>
  <si>
    <t>1st April, 2018</t>
  </si>
  <si>
    <t>5th April, 2018</t>
  </si>
  <si>
    <t>Espire Resorts Fort Barwada</t>
  </si>
  <si>
    <t>Tender Documentation- A</t>
  </si>
  <si>
    <t>20th April, 2018</t>
  </si>
  <si>
    <t>Tender Evaluation Stage (10% of INR 25,00,000)</t>
  </si>
  <si>
    <t>6th April, 2018</t>
  </si>
  <si>
    <t>10th  May, 2018</t>
  </si>
  <si>
    <t>Services Provided during Construction (50%) (10% of INR 25,00,000)</t>
  </si>
  <si>
    <t>Design Dev</t>
  </si>
  <si>
    <t>16th Aug, 2018</t>
  </si>
  <si>
    <t>Completion of Construction Document</t>
  </si>
  <si>
    <t>Tender Documentation- B</t>
  </si>
  <si>
    <t>16th April, 2018</t>
  </si>
  <si>
    <t>19th May, 2018</t>
  </si>
  <si>
    <t>Tender Documentation (25%)</t>
  </si>
  <si>
    <t>1st May, 2018</t>
  </si>
  <si>
    <t>28th Aug, 2018</t>
  </si>
  <si>
    <t>Tender Documentation- C</t>
  </si>
  <si>
    <t>5th May, 2018</t>
  </si>
  <si>
    <t>17th May, 2018</t>
  </si>
  <si>
    <t xml:space="preserve">Tender Evaluation    1,00,000
Service during Construction-   1,00,000
</t>
  </si>
  <si>
    <t>14th May, 2018</t>
  </si>
  <si>
    <t>5th June, 2018</t>
  </si>
  <si>
    <t>Conceptual Design</t>
  </si>
  <si>
    <t>MEP Block Loads</t>
  </si>
  <si>
    <t>Area Zoning</t>
  </si>
  <si>
    <t>15th May, 2018</t>
  </si>
  <si>
    <t>Tender Documentation- D</t>
  </si>
  <si>
    <t>13th Aug, 2018</t>
  </si>
  <si>
    <t>Tender Documentation- E</t>
  </si>
  <si>
    <t>1st June, 2018</t>
  </si>
  <si>
    <t>18th July, 2018</t>
  </si>
  <si>
    <t>16th June, 2018</t>
  </si>
  <si>
    <t>4th Aug, 2018</t>
  </si>
  <si>
    <t>1st July, 2018</t>
  </si>
  <si>
    <t xml:space="preserve">Schematic Design </t>
  </si>
  <si>
    <t>3rd July, 2018</t>
  </si>
  <si>
    <t>16th July, 2018</t>
  </si>
  <si>
    <t>60 days after Handover- 5%</t>
  </si>
  <si>
    <t>4th July, 2018</t>
  </si>
  <si>
    <t>25th July, 2018</t>
  </si>
  <si>
    <t>9th July, 2018</t>
  </si>
  <si>
    <t>DLF YPCC</t>
  </si>
  <si>
    <t>Tender Evaluation (5%)</t>
  </si>
  <si>
    <t>6th July, 2018</t>
  </si>
  <si>
    <t>Completion of Construction (5%)</t>
  </si>
  <si>
    <t>Receipt of Occupation Certificate (5%)</t>
  </si>
  <si>
    <t>Oberoi Bandhavgarh - Cancelled</t>
  </si>
  <si>
    <t xml:space="preserve">Tender Documentation </t>
  </si>
  <si>
    <t>3rd Aug, 2018</t>
  </si>
  <si>
    <t>5th Sep, 2018</t>
  </si>
  <si>
    <t>21st Aug, 2018</t>
  </si>
  <si>
    <t>29th Dec, 2019</t>
  </si>
  <si>
    <t>Completion of Tender Documents and Tender Review</t>
  </si>
  <si>
    <t>23rd Jan, 2019</t>
  </si>
  <si>
    <t>4th Sep, 2018</t>
  </si>
  <si>
    <t>Testing and Commissioning (5% of INR 25,00,000)</t>
  </si>
  <si>
    <t>11th Sep, 2018</t>
  </si>
  <si>
    <t>Design Development Stage (Hotel)</t>
  </si>
  <si>
    <t>20th Sep, 2018</t>
  </si>
  <si>
    <t>20th Nov, 2018</t>
  </si>
  <si>
    <t>Design Development Stage (Convention Centre)</t>
  </si>
  <si>
    <t>RIL DAICEC L05 and Clubhouse</t>
  </si>
  <si>
    <t>Completion of Schematic Design (25% of INR 81,28,590)</t>
  </si>
  <si>
    <t>Design Development Stage (Branded Residence and Retail)</t>
  </si>
  <si>
    <t>Design Development (Black Swan)</t>
  </si>
  <si>
    <t>20TH Sep, 2018</t>
  </si>
  <si>
    <t>to be changed to 10280</t>
  </si>
  <si>
    <t xml:space="preserve">Design Development </t>
  </si>
  <si>
    <t>6th Oct, 2018</t>
  </si>
  <si>
    <t>15th Oct, 2018</t>
  </si>
  <si>
    <t>2019-20</t>
  </si>
  <si>
    <t>3rd April, 2019</t>
  </si>
  <si>
    <t>25th April, 2019</t>
  </si>
  <si>
    <t>9th April, 2019</t>
  </si>
  <si>
    <t>Travel Invoice June 2019</t>
  </si>
  <si>
    <t>13th June, 2019</t>
  </si>
  <si>
    <t>Completion of Construction Administration 50%</t>
  </si>
  <si>
    <t>10th March 2021</t>
  </si>
  <si>
    <t>2020-21</t>
  </si>
  <si>
    <t>The Park Hyatt Goa, Daffodil Hotels</t>
  </si>
  <si>
    <t xml:space="preserve">Upon Commencement of Services </t>
  </si>
  <si>
    <t>4th Aug, 2020</t>
  </si>
  <si>
    <t>7th Aug, 2020</t>
  </si>
  <si>
    <t>6th Aug, 2018</t>
  </si>
  <si>
    <t>15th Dec, 2018</t>
  </si>
  <si>
    <t>11th Jan, 2019</t>
  </si>
  <si>
    <t>TE</t>
  </si>
  <si>
    <t>9th Jan, 2019</t>
  </si>
  <si>
    <t>8th Feb, 2019</t>
  </si>
  <si>
    <t>Construction Document (Hotel)</t>
  </si>
  <si>
    <t>26th Feb, 2019</t>
  </si>
  <si>
    <t>Construction Documentation  (Convention Centre)</t>
  </si>
  <si>
    <t>1st March, 2019</t>
  </si>
  <si>
    <t>Tender Evlauation</t>
  </si>
  <si>
    <t>23rd Nov, 2020</t>
  </si>
  <si>
    <t>Completion of Construction Administration 90%</t>
  </si>
  <si>
    <t>10th March, 2021</t>
  </si>
  <si>
    <t>RIL DAICEC New Areas 2020</t>
  </si>
  <si>
    <t>Part Invoice (80%)</t>
  </si>
  <si>
    <t>Schematic Design 50%</t>
  </si>
  <si>
    <t>2021-22</t>
  </si>
  <si>
    <t>5th May, 2021</t>
  </si>
  <si>
    <t>27th May, 2021</t>
  </si>
  <si>
    <t xml:space="preserve">Services Provided During Construction </t>
  </si>
  <si>
    <t>29th April, 2019</t>
  </si>
  <si>
    <t>Khanseng Central Laundry</t>
  </si>
  <si>
    <t>25th June, 2021</t>
  </si>
  <si>
    <t>Anaiah Constructions - Devanya Hills</t>
  </si>
  <si>
    <t>18th Aug 2021 to 17th Feb 2024</t>
  </si>
  <si>
    <t>18th Aug, 2021</t>
  </si>
  <si>
    <t>20th Aug, 2021</t>
  </si>
  <si>
    <t>Construction Administration Phase (Branded Residence and Retail)</t>
  </si>
  <si>
    <t>10th Sep, 2019</t>
  </si>
  <si>
    <t>12th Sep, 2019</t>
  </si>
  <si>
    <t>6th Jan, 2020</t>
  </si>
  <si>
    <t>11th March, 2020</t>
  </si>
  <si>
    <t xml:space="preserve">Updated Tender Drawings and Details </t>
  </si>
  <si>
    <t>included in R309</t>
  </si>
  <si>
    <t>12TH Feb, 2020</t>
  </si>
  <si>
    <t>15th Feb, 2020</t>
  </si>
  <si>
    <t>3.1   Conceptual Design</t>
  </si>
  <si>
    <t>16th Sep 2021</t>
  </si>
  <si>
    <t>Shop Drawing Approval Stage</t>
  </si>
  <si>
    <t>18th Feb, 2020</t>
  </si>
  <si>
    <t>Construction Administration Phase  (Convention Centre)</t>
  </si>
  <si>
    <t>On Completion of Tender Evlauation (15% of Total Fees) (add 10% addendum post 24th Jan 2020)</t>
  </si>
  <si>
    <t>11th May, 2020</t>
  </si>
  <si>
    <t>28th Sep 2020</t>
  </si>
  <si>
    <t>On Approval of Shop Drawings (5% of Total Fees)  (add 10% addendum post 24th Jan 2020)</t>
  </si>
  <si>
    <t>3.2   Schematic Design</t>
  </si>
  <si>
    <t>3.3   Design Development</t>
  </si>
  <si>
    <t>Completion of Construction Administration Final</t>
  </si>
  <si>
    <t xml:space="preserve">3.1 Conceptual Design </t>
  </si>
  <si>
    <t xml:space="preserve">3.2 Schematic Design </t>
  </si>
  <si>
    <t xml:space="preserve">3.3 Design Development </t>
  </si>
  <si>
    <t xml:space="preserve">3.4 Tender Documentation </t>
  </si>
  <si>
    <t xml:space="preserve">3.5 Tender Evaluation </t>
  </si>
  <si>
    <t>Completion of Design Development 30% (20% of 8128590)</t>
  </si>
  <si>
    <t>17th Dec, 2021</t>
  </si>
  <si>
    <t xml:space="preserve">3.6 Services Provided during Construction </t>
  </si>
  <si>
    <t xml:space="preserve">3.7 Testing &amp; Commissioning </t>
  </si>
  <si>
    <t>3.1   Conceptual Design - 75% of 140000</t>
  </si>
  <si>
    <t>14th Feb, 2022</t>
  </si>
  <si>
    <t>RIL DAICEC A3 Indian Accent</t>
  </si>
  <si>
    <t>1st Jan 2022 to 31st Dec 2022</t>
  </si>
  <si>
    <t>1.      Concept Stage</t>
  </si>
  <si>
    <t>18th Feb, 2022</t>
  </si>
  <si>
    <t>RIL DAICEC A4 FOI</t>
  </si>
  <si>
    <t>Delhi Golf Club  M/S Juneja</t>
  </si>
  <si>
    <t>Upon Commencement</t>
  </si>
  <si>
    <t>1st Sep. 2021</t>
  </si>
  <si>
    <t>a.       Schematic Stage</t>
  </si>
  <si>
    <t>2022-23</t>
  </si>
  <si>
    <t>2nd April 2022</t>
  </si>
  <si>
    <t>b.      Detailed Design Stage</t>
  </si>
  <si>
    <t>20th April 2022</t>
  </si>
  <si>
    <t>RIL DAICEC A1 - VIP Lounge Pantry, Mall Mgt Office Canteen, Personal Shopper, 3rd Floor Grab and Go, Arts Café)</t>
  </si>
  <si>
    <t>1st May 2022</t>
  </si>
  <si>
    <t>Delhi Golf Club</t>
  </si>
  <si>
    <t xml:space="preserve">Conceptual &amp; Schematic Design </t>
  </si>
  <si>
    <t>1st Oct, 2021</t>
  </si>
  <si>
    <t xml:space="preserve">Design development </t>
  </si>
  <si>
    <t xml:space="preserve">Testing &amp; Commissioning </t>
  </si>
  <si>
    <t xml:space="preserve">Tender Documentation &amp; Tender Evaluation </t>
  </si>
  <si>
    <t>Construction Administration Stage</t>
  </si>
  <si>
    <t>1st Nov, 2021</t>
  </si>
  <si>
    <t>12th Dec, 2021</t>
  </si>
  <si>
    <t>Anantam Residence</t>
  </si>
  <si>
    <t>15th Sep 2021 to 15th Sep 2022</t>
  </si>
  <si>
    <t>a) Completion of Schematic Design - Rs. 5.7 Lakh + GST</t>
  </si>
  <si>
    <t>16th Oct, 2021</t>
  </si>
  <si>
    <t>18th Nov, 2021</t>
  </si>
  <si>
    <t>b) Completion of Design Development - Rs. 3.8 Lakh + GST</t>
  </si>
  <si>
    <t>c) Completion of Construction Document - Rs. 3.8 Lakh + GST</t>
  </si>
  <si>
    <t>9th Dec, 2021</t>
  </si>
  <si>
    <t>21st Dec, 2021</t>
  </si>
  <si>
    <t>Moved to LLP</t>
  </si>
  <si>
    <t>Holymont Udaipur- Maya Hill Resorts</t>
  </si>
  <si>
    <t>24th Dec, 2020</t>
  </si>
  <si>
    <t>30th Dec, 2020</t>
  </si>
  <si>
    <t>23rd March, 2021</t>
  </si>
  <si>
    <t>24th March, 2021</t>
  </si>
  <si>
    <t>10326-1  Cancelled</t>
  </si>
  <si>
    <t>Including escalation</t>
  </si>
  <si>
    <t>d) Completion of Tender Document &amp; Tender Review - Rs. 3.8 Lakh + GST</t>
  </si>
  <si>
    <t>12th Feb, 2022</t>
  </si>
  <si>
    <t>RIL DAICEC A2 Shimmer</t>
  </si>
  <si>
    <t>4th May 2022</t>
  </si>
  <si>
    <t>c.       Tender Documentation Stage</t>
  </si>
  <si>
    <t>2nd July 2022</t>
  </si>
  <si>
    <t>25th Feb, 2022</t>
  </si>
  <si>
    <t>Anantam Residence- Reworks</t>
  </si>
  <si>
    <t>Reworks</t>
  </si>
  <si>
    <t>2nd April, 2022</t>
  </si>
  <si>
    <t>3.2   Schematic Design - 75% of 140000</t>
  </si>
  <si>
    <t>20th Aug 2022</t>
  </si>
  <si>
    <t>6th Sep, 2022</t>
  </si>
  <si>
    <t>3.3   Design Development - 75% of INR 2,80,000</t>
  </si>
  <si>
    <t>6th Oct, 2022</t>
  </si>
  <si>
    <t>3.4   Tender Documentation</t>
  </si>
  <si>
    <t>1st Nov, 2022</t>
  </si>
  <si>
    <t>Suryagarh Phase 1</t>
  </si>
  <si>
    <t>13th Feb 2023 to 12th Aug 2024</t>
  </si>
  <si>
    <t>13th Feb, 2023</t>
  </si>
  <si>
    <t>Suryagarh Phase 2</t>
  </si>
  <si>
    <t>e) Completion of Construction Administation &amp; As built Drawing - Rs. 1.9 Lakh + GST</t>
  </si>
  <si>
    <t>Revit</t>
  </si>
  <si>
    <t>April</t>
  </si>
  <si>
    <t>2023-24</t>
  </si>
  <si>
    <t>21st April 2023</t>
  </si>
  <si>
    <t>RIL 2022 Areas Charges for providing additional Consultancy services IOC Pantry,Wedding
Concierge, Fountain of Joy- Food Carts Experience Centre,Arts Café Additional
Areas,Theatre Café Pantry &amp; Support</t>
  </si>
  <si>
    <t>Comprehensive</t>
  </si>
  <si>
    <t>a.       Tender Evaluation &amp; Shop Drawing Approval</t>
  </si>
  <si>
    <t>21st April, 2023</t>
  </si>
  <si>
    <t>Anantam Residence - Offsite Laundry</t>
  </si>
  <si>
    <t>Schematic Layouts &amp; Lists</t>
  </si>
  <si>
    <t>Detailed Design</t>
  </si>
  <si>
    <t>Construction Documenation</t>
  </si>
  <si>
    <t>a.       Coordination &amp; Construction Support</t>
  </si>
  <si>
    <t>Completion of Design Development 70% (20% of 8128590)</t>
  </si>
  <si>
    <t>25th April. 2023</t>
  </si>
  <si>
    <t>Cravin by Andy</t>
  </si>
  <si>
    <t>15th Feb 2023 to 14th July 2023</t>
  </si>
  <si>
    <t>17th Jan 2023</t>
  </si>
  <si>
    <t>18th Jan 2023</t>
  </si>
  <si>
    <t>13L with escalation</t>
  </si>
  <si>
    <t>1st June 2023</t>
  </si>
  <si>
    <t>cancelled 220007</t>
  </si>
  <si>
    <t>c.       Tender Documentation Stage without 3rd floor café</t>
  </si>
  <si>
    <t>1st June, 2023</t>
  </si>
  <si>
    <t>1st</t>
  </si>
  <si>
    <t xml:space="preserve">15.1 Conceptual Design </t>
  </si>
  <si>
    <t>16th June, 2023</t>
  </si>
  <si>
    <t xml:space="preserve">15.2 Schematic Design </t>
  </si>
  <si>
    <t xml:space="preserve"> Cancelled 2023008</t>
  </si>
  <si>
    <t>3.5   Tender Evaluation</t>
  </si>
  <si>
    <t>17th June 2023</t>
  </si>
  <si>
    <t>Gangaram Hospital</t>
  </si>
  <si>
    <t>21st June 2023 to 20th Dec 2023</t>
  </si>
  <si>
    <t>On submission of Project Brief for Kitchen planning &amp; MEP</t>
  </si>
  <si>
    <t>3rd July 2023</t>
  </si>
  <si>
    <t xml:space="preserve">b. Testing &amp; Commissioning </t>
  </si>
  <si>
    <t>4th July 2023</t>
  </si>
  <si>
    <t>Design Development &amp; Specifications Document</t>
  </si>
  <si>
    <t>Advance on Commencement 15%</t>
  </si>
  <si>
    <t>Completion of Tender Documents (10%)</t>
  </si>
  <si>
    <t>11th July 2023</t>
  </si>
  <si>
    <t>3rd Aug 2023</t>
  </si>
  <si>
    <t xml:space="preserve">15.3 Design Development </t>
  </si>
  <si>
    <t>7th Sep 2023</t>
  </si>
  <si>
    <t>Armani Café Reliance Brands</t>
  </si>
  <si>
    <t>Tender Review</t>
  </si>
  <si>
    <t>Construction Administration</t>
  </si>
  <si>
    <t>13th Sep, 2023</t>
  </si>
  <si>
    <t>Design Development and MEP Drawing Phase</t>
  </si>
  <si>
    <t>2nd October, 2023</t>
  </si>
  <si>
    <t>Oct</t>
  </si>
  <si>
    <t>23rd Oct, 2023</t>
  </si>
  <si>
    <t>Anantam Phase 2</t>
  </si>
  <si>
    <t>Completion and approval of concept design</t>
  </si>
  <si>
    <t>Nov</t>
  </si>
  <si>
    <t>1st Nov 2023</t>
  </si>
  <si>
    <t>Completion and approval of Detailed design</t>
  </si>
  <si>
    <t>Completion of Construction Document -50% (15% of INR 8128590)</t>
  </si>
  <si>
    <t>2nd Nov 2023</t>
  </si>
  <si>
    <t>Services Provided During Construction</t>
  </si>
  <si>
    <t>a.       Tender Evaluation &amp; Shop Drawing Approval- without third floor café</t>
  </si>
  <si>
    <t>2nd Nov, 2023</t>
  </si>
  <si>
    <t>a.       Coordination &amp; Construction Support- without third floor café</t>
  </si>
  <si>
    <t>b. Testing &amp; Commissioning - Without third floor café</t>
  </si>
  <si>
    <t>ACSA</t>
  </si>
  <si>
    <t>14th Nov, 2023</t>
  </si>
  <si>
    <t>EL&amp;N Reliance Brands</t>
  </si>
  <si>
    <t>15th Dec 2023</t>
  </si>
  <si>
    <t>16th Dec, 2023</t>
  </si>
  <si>
    <t>23rd Jan 2024</t>
  </si>
  <si>
    <t>Testing &amp; Commissioning</t>
  </si>
  <si>
    <t>Pre-Concept Stage- On submission of as built drawing</t>
  </si>
  <si>
    <t>Jan</t>
  </si>
  <si>
    <t>18th Jan 2024</t>
  </si>
  <si>
    <t>On submission of three options of Conceptual Design</t>
  </si>
  <si>
    <t>Feb</t>
  </si>
  <si>
    <t>2nd Feb 2024</t>
  </si>
  <si>
    <t>Suryagarh Enhancement</t>
  </si>
  <si>
    <t>CONCEPTUAL DESIGN 1,75,000</t>
  </si>
  <si>
    <t>19th Feb 2024</t>
  </si>
  <si>
    <t>10005/17/02/17</t>
  </si>
  <si>
    <t>Construction Document</t>
  </si>
  <si>
    <t>17th Feb, 2017</t>
  </si>
  <si>
    <t>25th April, 2017</t>
  </si>
  <si>
    <t>10289-A</t>
  </si>
  <si>
    <t>Tender Documentation Stage (Hotel)</t>
  </si>
  <si>
    <t>31st March, 2019</t>
  </si>
  <si>
    <t>13th May, 2019</t>
  </si>
  <si>
    <t>Tender Documentation  (Convention Centre)</t>
  </si>
  <si>
    <t>Construction Documentation (Branded Residence)</t>
  </si>
  <si>
    <t>Tender Documentation (Branded Residence and Retail)</t>
  </si>
  <si>
    <t>Construction Documentation (Black Swan)</t>
  </si>
  <si>
    <t>Tender Documentation (Black Swan)</t>
  </si>
  <si>
    <t>Construction Administration Phase (Black Swan)</t>
  </si>
  <si>
    <t>103/PI 24092012</t>
  </si>
  <si>
    <t>ADVANCE FEES HOTEL &amp; CONVENTION CENTRE @ 10% OF RS.43,00,000 = INR 430000
ADVANCE FEES BLACK SWAN @ 10% OF RS 12,00,000 = INR 120000</t>
  </si>
  <si>
    <t>24th Sep, 2012</t>
  </si>
  <si>
    <t>4th Oct, 2012</t>
  </si>
  <si>
    <t>103PI100214</t>
  </si>
  <si>
    <t>SCHEMATIC Design Stage 15% BRANDED RESIDENCES of INR 4300000 (Part 1/3)</t>
  </si>
  <si>
    <t>14th Feb, 2014</t>
  </si>
  <si>
    <t>24th March, 2014</t>
  </si>
  <si>
    <t>103PI100214 Repeat</t>
  </si>
  <si>
    <t>SCHEMATIC Design Stage 15% HOTEL (4300000) (part 2/3)</t>
  </si>
  <si>
    <t>Entered in P205</t>
  </si>
  <si>
    <t>Schematic Design 15% of Convention Centre (INR 4300000) (Part 3/3)</t>
  </si>
  <si>
    <t>103PI180420131</t>
  </si>
  <si>
    <t>Concept Design Stage 15% of INR 12,00,000</t>
  </si>
  <si>
    <t>8th April, 2013</t>
  </si>
  <si>
    <t>16th May 2013</t>
  </si>
  <si>
    <t>103PI180420132</t>
  </si>
  <si>
    <t>Concept Design Stage 15% of INR 4300000</t>
  </si>
  <si>
    <t>Entered in P192</t>
  </si>
  <si>
    <t>21st Feb 2024</t>
  </si>
  <si>
    <t>21/ 10012012</t>
  </si>
  <si>
    <t>Advance (20% of INR 2350000)</t>
  </si>
  <si>
    <t>ST @ 10.3%</t>
  </si>
  <si>
    <t>10th Jan, 2012</t>
  </si>
  <si>
    <t>4th Feb, 2012</t>
  </si>
  <si>
    <t>Veer Health Services</t>
  </si>
  <si>
    <t>85/05032012</t>
  </si>
  <si>
    <t>Phase 1 Schematic Design @25% of INR 25L
Phase 2 Preliminary Design @ 20% of INR 25L</t>
  </si>
  <si>
    <t>5th March, 2012</t>
  </si>
  <si>
    <t>16th April, 2012</t>
  </si>
  <si>
    <t>85/12012011</t>
  </si>
  <si>
    <t>Invoice for Advance</t>
  </si>
  <si>
    <t>12th Jan, 2011</t>
  </si>
  <si>
    <t>92PI 15012013</t>
  </si>
  <si>
    <t>SCHEMATIC DESIGN FEES @ 25% OF RS.14,00,000 (Duplicate??)</t>
  </si>
  <si>
    <t>15th Jan, 2013</t>
  </si>
  <si>
    <t>10th April, 2013</t>
  </si>
  <si>
    <t>Construction Support- FOH</t>
  </si>
  <si>
    <t>Construction Support- HOH</t>
  </si>
  <si>
    <t>Initial Fee Balance</t>
  </si>
  <si>
    <t>11th March 2024</t>
  </si>
  <si>
    <t>c.       Tender Documentation Stage- third floor café</t>
  </si>
  <si>
    <t>2024-25</t>
  </si>
  <si>
    <t>11th Dec 2024</t>
  </si>
  <si>
    <t>a.       Tender Evaluation &amp; Shop Drawing Approval- third floor café</t>
  </si>
  <si>
    <t>a.       Coordination &amp; Construction Support- third floor café</t>
  </si>
  <si>
    <t>b. Testing &amp; Commissioning - Third Floor Café</t>
  </si>
  <si>
    <t>Anantam Phase 3</t>
  </si>
  <si>
    <t>On approval of Schematic Layouts &amp; Lists</t>
  </si>
  <si>
    <t>10th April 2024</t>
  </si>
  <si>
    <t>On approval of Detailed Design</t>
  </si>
  <si>
    <t>On approval of Construction Documentation</t>
  </si>
  <si>
    <t>On completion of Tender Review</t>
  </si>
  <si>
    <t>On completion of tender document and tender
review</t>
  </si>
  <si>
    <t>2023024 cancelled for this stage</t>
  </si>
  <si>
    <t>Completion and approval of Construction documents</t>
  </si>
  <si>
    <t>SCHEMATIC DESIGN 1,75,000</t>
  </si>
  <si>
    <t>May</t>
  </si>
  <si>
    <t>1st May 2024</t>
  </si>
  <si>
    <t>DETAILED DESIGN 2,50,000 (50% for Roma)</t>
  </si>
  <si>
    <t>TENDER DOCUMENTATION 1,75,000 (50% for Roma)</t>
  </si>
  <si>
    <t>3.6   Services Provided during Construction</t>
  </si>
  <si>
    <t>13th May, 2024</t>
  </si>
  <si>
    <t>Andvel Hotel Congo</t>
  </si>
  <si>
    <t>13th Feb 2023 to 12th Aug 2025</t>
  </si>
  <si>
    <t>13th May, 2023</t>
  </si>
  <si>
    <t>On submission of final revisions</t>
  </si>
  <si>
    <t>1st Aug 2024</t>
  </si>
  <si>
    <t>TENDER EVALUATION 1,25,000 (50% for Roma)</t>
  </si>
  <si>
    <t>10th Sep 2024</t>
  </si>
  <si>
    <t>Andvel Hotel Congo Enhancement</t>
  </si>
  <si>
    <t>Conceptual Design (Redesign Works)</t>
  </si>
  <si>
    <t>DETAILED DESIGN 2,50,000 (50% for Granary)</t>
  </si>
  <si>
    <t>2nd Nov 2024</t>
  </si>
  <si>
    <t>19th Feb, 2025</t>
  </si>
  <si>
    <t>2015-16</t>
  </si>
  <si>
    <t>5th Oct, 2015</t>
  </si>
  <si>
    <t>10502/1</t>
  </si>
  <si>
    <t>Tender Documentation/Partial</t>
  </si>
  <si>
    <t>1st April, 2017</t>
  </si>
  <si>
    <t>15th May, 2017</t>
  </si>
  <si>
    <t>raised</t>
  </si>
  <si>
    <t>TENDER DOCUMENTATION 1,75,000 (50% for Granary)</t>
  </si>
  <si>
    <t>Citrus Cunningham</t>
  </si>
  <si>
    <t>10th Oct 2024 to 9th April 2026</t>
  </si>
  <si>
    <t>9th Nov 2024</t>
  </si>
  <si>
    <t>Ananda Portugal</t>
  </si>
  <si>
    <t>20th Feb 2025 to 19th Feb 2029</t>
  </si>
  <si>
    <t>2025-26</t>
  </si>
  <si>
    <t>11th April 2025</t>
  </si>
  <si>
    <t>17th April, 2025</t>
  </si>
  <si>
    <t>Durlabh Niwas</t>
  </si>
  <si>
    <t>26th Dec 2024 to 25th Dec 2025</t>
  </si>
  <si>
    <t>12th April 2025</t>
  </si>
  <si>
    <t>21st July 2025</t>
  </si>
  <si>
    <t>Bokkapatana Hotel</t>
  </si>
  <si>
    <t>Oct 2024 to Sep 2026</t>
  </si>
  <si>
    <t>RIL Central Laundry</t>
  </si>
  <si>
    <t>11 Sep 2024 to 10th Jan 2025</t>
  </si>
  <si>
    <t>Upon Commencement of Services- 70000.00</t>
  </si>
  <si>
    <t>26th Nov 2024</t>
  </si>
  <si>
    <t>The Park Hyatt Goa, Daffodil Hotels- Enhancement</t>
  </si>
  <si>
    <t>On Extenstion</t>
  </si>
  <si>
    <t>18th April 2025</t>
  </si>
  <si>
    <t>1. Conceptual Design- 52500.00</t>
  </si>
  <si>
    <t>Completion of Construction Administration Total</t>
  </si>
  <si>
    <t>2.      Design Stage</t>
  </si>
  <si>
    <t>NA</t>
  </si>
  <si>
    <t>3.      Pre construction &amp; Coordination Stage</t>
  </si>
  <si>
    <t>DSP Google SIGB</t>
  </si>
  <si>
    <t>Blr</t>
  </si>
  <si>
    <t>Grand Hyatt Indore</t>
  </si>
  <si>
    <t>14th Aug 2025, 13th Jan 2026</t>
  </si>
  <si>
    <t>4.      Construction Phase</t>
  </si>
  <si>
    <t>2. Schematic Design- 52500.00</t>
  </si>
  <si>
    <t>Delhi</t>
  </si>
  <si>
    <t>1st May, 2025</t>
  </si>
  <si>
    <t>15th May, 2025</t>
  </si>
  <si>
    <t>3. Design Development- 70000.00</t>
  </si>
  <si>
    <t>Completion of Tender Review (15% of 8128590)</t>
  </si>
  <si>
    <t>Completion of Shop Drawing Review 5%</t>
  </si>
  <si>
    <t>21st Dec 2024</t>
  </si>
  <si>
    <t>10th May 2025</t>
  </si>
  <si>
    <t>23rd July, 2025</t>
  </si>
  <si>
    <t>Schematic Design - 50%</t>
  </si>
  <si>
    <t>23rd June, 2025</t>
  </si>
  <si>
    <t>30th July, 2025</t>
  </si>
  <si>
    <t>8th Nov 2024 to 7th May 2026</t>
  </si>
  <si>
    <t>Enhancement</t>
  </si>
  <si>
    <t>17th Sep 2025</t>
  </si>
  <si>
    <t>5. Tender Evaluation- 35000.00</t>
  </si>
  <si>
    <t>2nd Jan 2025</t>
  </si>
  <si>
    <t>12th Feb, 2025</t>
  </si>
  <si>
    <t>Services Provided During Construction: Prorated monthly within 3 months post evaluation</t>
  </si>
  <si>
    <t>13th Feb, 2025</t>
  </si>
  <si>
    <t>Max Estates 128 Clubhouse</t>
  </si>
  <si>
    <t>20th Feb 2024</t>
  </si>
  <si>
    <t>4. Tender Documentation- 35000.00</t>
  </si>
  <si>
    <t>22nd Sep, 2025</t>
  </si>
  <si>
    <t>Total Environment</t>
  </si>
  <si>
    <t>Raised</t>
  </si>
  <si>
    <t>Trident Bhubaneshwar</t>
  </si>
  <si>
    <t>22nd April 2024 to 1st June 2026</t>
  </si>
  <si>
    <t>Concept Design - Balance</t>
  </si>
  <si>
    <t>25th Aug 2025</t>
  </si>
  <si>
    <t>30th Aug 2025</t>
  </si>
  <si>
    <t>5th July, 2025</t>
  </si>
  <si>
    <t>3.7   Testing &amp; Commissioning</t>
  </si>
  <si>
    <t>Aditya Birla Mumbai Restaurant</t>
  </si>
  <si>
    <t>15th Nov 2024 to 14th May 2025</t>
  </si>
  <si>
    <t>24th July, 2025</t>
  </si>
  <si>
    <t>yes, In 2024</t>
  </si>
  <si>
    <t>Completion of Conceptual Design</t>
  </si>
  <si>
    <t>16th Dec 2025</t>
  </si>
  <si>
    <t>RIL Serviced Apartment</t>
  </si>
  <si>
    <t>Upon Site Visit</t>
  </si>
  <si>
    <t>DEL</t>
  </si>
  <si>
    <t>2nd Sep 2025</t>
  </si>
  <si>
    <t>12th Dec 2025</t>
  </si>
  <si>
    <t>RIL Coffeehouse Clubhouse- MSF/230214474</t>
  </si>
  <si>
    <t>1st June 2025 to 31st May 2027</t>
  </si>
  <si>
    <t xml:space="preserve">Concept Design </t>
  </si>
  <si>
    <t>Del</t>
  </si>
  <si>
    <t>11th Sep, 2025</t>
  </si>
  <si>
    <t>21st Jan 2026</t>
  </si>
  <si>
    <t xml:space="preserve">Schematic design </t>
  </si>
  <si>
    <t>3.4   Tender Documentation 75%</t>
  </si>
  <si>
    <t>Leela Rishikesh</t>
  </si>
  <si>
    <t>Aug 2025 to Feb 2029</t>
  </si>
  <si>
    <t>Mobilization</t>
  </si>
  <si>
    <t>6th Aug 2025</t>
  </si>
  <si>
    <t>19th Aug 2025</t>
  </si>
  <si>
    <t>Balance</t>
  </si>
  <si>
    <t>RIL Cultural Café - - MSF/230214447</t>
  </si>
  <si>
    <t>3.4   Tender Documentation 25%</t>
  </si>
  <si>
    <t>5th Sep, 2025</t>
  </si>
  <si>
    <t>RIL EYC- MSF/230215037</t>
  </si>
  <si>
    <t>28th Jan 2026</t>
  </si>
  <si>
    <t>11th Sep 2025</t>
  </si>
  <si>
    <t>On completion of construction administration and as
built drawings</t>
  </si>
  <si>
    <t>14th Oct, 2025</t>
  </si>
  <si>
    <t>On completion of Construction Administration</t>
  </si>
  <si>
    <t>Stage 2-Concept Design - 20%</t>
  </si>
  <si>
    <t>13th Oct, 2025</t>
  </si>
  <si>
    <t xml:space="preserve">Stage 3-Developed Design and Authority Approvals - 25% </t>
  </si>
  <si>
    <t>Stage 4- Technical Design &amp; Procurement - 15%</t>
  </si>
  <si>
    <t>Completion of Construction Administration 10% (90% of stage)</t>
  </si>
  <si>
    <t>31st Oct 2025</t>
  </si>
  <si>
    <t>17th Dec 2025</t>
  </si>
  <si>
    <t>DD Balance</t>
  </si>
  <si>
    <t>15th Dec 2025</t>
  </si>
  <si>
    <t>Axis</t>
  </si>
  <si>
    <t>2nd Dec 2025</t>
  </si>
  <si>
    <t>2026-27</t>
  </si>
  <si>
    <t>CONCEPT DESIGN</t>
  </si>
  <si>
    <t>4th May 2024</t>
  </si>
  <si>
    <t>Citrus Cunningham Enhancement</t>
  </si>
  <si>
    <t>Enhancement for Redesign Works Delivered</t>
  </si>
  <si>
    <t>BLR</t>
  </si>
  <si>
    <t>8th Dec 2025</t>
  </si>
  <si>
    <t>6th Jan 2026</t>
  </si>
  <si>
    <t>Bokapatana Enhancement</t>
  </si>
  <si>
    <t>Enhancement for Redesign Works Requested</t>
  </si>
  <si>
    <t>Sheraton @ gift City</t>
  </si>
  <si>
    <t>19th Dec 2025 to 18th Dec 2028</t>
  </si>
  <si>
    <t>Upon Commencement of Services 4,00,000</t>
  </si>
  <si>
    <t>19th Dec 2025</t>
  </si>
  <si>
    <t>7th Jan 2026</t>
  </si>
  <si>
    <t>10th Feb, 2026</t>
  </si>
  <si>
    <t xml:space="preserve">Award of Tender </t>
  </si>
  <si>
    <t xml:space="preserve">Commissioning and Hand Over </t>
  </si>
  <si>
    <t>CONSTRUCTION SUPPORT</t>
  </si>
  <si>
    <t>TESTING &amp; COMMISSIONING</t>
  </si>
  <si>
    <t>15.6 Services Provided during Construction (25% - Laundry)</t>
  </si>
  <si>
    <t>March</t>
  </si>
  <si>
    <t>16th March 2026</t>
  </si>
  <si>
    <t>15.7 Testing &amp; Commissioning (25% - Laundry)</t>
  </si>
  <si>
    <t>3.7    Testing &amp; Commissioning</t>
  </si>
  <si>
    <t>15.4 Tender Documentation (25% - Laundry)</t>
  </si>
  <si>
    <t>15.5 Tender Evaluation (25% - Laundry)</t>
  </si>
  <si>
    <t>TENDER DOCUMENTATION</t>
  </si>
  <si>
    <t>TENDER EVALUATION</t>
  </si>
  <si>
    <t>TENDER EVALUATION 1,25,000  (50% for Granary)</t>
  </si>
  <si>
    <t>SERVICES PROVIDED DURING CONSTRUCTION 50,000</t>
  </si>
  <si>
    <t>Services provided during construction</t>
  </si>
  <si>
    <t>TESTING &amp; COMMISSIONING 50,000</t>
  </si>
  <si>
    <t>DETAILED DESIGN</t>
  </si>
  <si>
    <t>SCHEMATIC DESIGN</t>
  </si>
  <si>
    <t>2nd March 2026</t>
  </si>
  <si>
    <t>On Award of Tender</t>
  </si>
  <si>
    <t>Handover and Commissioning</t>
  </si>
  <si>
    <t>3rd March 2026</t>
  </si>
  <si>
    <t>2027-28</t>
  </si>
  <si>
    <t>2028-29</t>
  </si>
  <si>
    <t>Closeout</t>
  </si>
  <si>
    <t>Aproval of Tender Documentation</t>
  </si>
  <si>
    <t xml:space="preserve">Construction documentation </t>
  </si>
  <si>
    <t>Completion of Construction Administration 10%</t>
  </si>
  <si>
    <t>3.1 Conceptual Design 4,50,000</t>
  </si>
  <si>
    <t>3.2 Schematic Design 4,00,000</t>
  </si>
  <si>
    <t>Design Development 6,70,000</t>
  </si>
  <si>
    <t>3.4 Tender Documentation 3,80,000</t>
  </si>
  <si>
    <t>Tender Evaluation 3,60,000</t>
  </si>
  <si>
    <t>Upon approval of Advisory report - 4,00,000</t>
  </si>
  <si>
    <t>3.Upon approval of Conceptual Design -3,00,000</t>
  </si>
  <si>
    <t>4.Upon approval of Schematic Design - 4,00,000</t>
  </si>
  <si>
    <t>5.Upon approval of Design Development- 2,00,000</t>
  </si>
  <si>
    <t>6.Upon approval of Tender Documentation- 150,000</t>
  </si>
  <si>
    <t>7.Upon approval of Tender Evaluation -50,000</t>
  </si>
  <si>
    <t>8.Upon completion of Services Provided during Construction -50,000</t>
  </si>
  <si>
    <t>9.Upon approval of Testing &amp; Commissioning -50,000</t>
  </si>
  <si>
    <t>3.6 Services Provided during Construction 70,000</t>
  </si>
  <si>
    <t>3.7 Testing &amp; Commissioning 70,000</t>
  </si>
  <si>
    <t>Upon Commencement of Services ₹2,00,000 ₹40,000 ₹30,000</t>
  </si>
  <si>
    <t>3.1 Conceptual Design ₹2,00,000 ₹40,000 ₹30,000</t>
  </si>
  <si>
    <t>3.2 Schematic Design ₹2,00,000 ₹40,000 ₹30,000</t>
  </si>
  <si>
    <t>3.3 Design Development ₹1,50,000 ₹30,000 ₹22,500</t>
  </si>
  <si>
    <t>3.4 Tender Documentation ₹1,00,000 ₹20,000 ₹15,000</t>
  </si>
  <si>
    <t>3.5 Tender Evaluation ₹50,000 ₹10,000 ₹7,500</t>
  </si>
  <si>
    <t>3.6 Services Provided during Construction ₹50,000 ₹10,000 ₹7,500</t>
  </si>
  <si>
    <t>3.7 Testing &amp; Commissioning ₹50,000 ₹10,000 ₹7,500</t>
  </si>
  <si>
    <t>RIL Kitchen &amp; Laundry - Thal Alibaug - MOSPC/90</t>
  </si>
  <si>
    <t>16 Feb 2026 to 31 Dec 2027</t>
  </si>
  <si>
    <t>Upon Commencement of Services (MK:200000 + L:40000 + SD:30000)</t>
  </si>
  <si>
    <t>3.3 Design Development (MK:150000 + L:30000 + SD:22500)</t>
  </si>
  <si>
    <t>3.4 Tender Documentation (MK:100000 + L:20000 + SD:15000)</t>
  </si>
  <si>
    <t>3.5 Tender Evaluation (MK:50000 + L:10000 + SD:7500)</t>
  </si>
  <si>
    <t>3.6 Services during Construction (MK:50000 + L:10000 + SD:7500)</t>
  </si>
  <si>
    <t>3.7 Testing &amp; Commissioning (MK:50000 + L:10000 + SD:7500)</t>
  </si>
  <si>
    <t>15.4 Tender Documentation (75% Balance)</t>
  </si>
  <si>
    <t>15.5 Tender Evaluation (75% Balance)</t>
  </si>
  <si>
    <t>15.6 Services Provided during Construction (75% Balance)</t>
  </si>
  <si>
    <t>15.7 Testing &amp; Commissioning (75% Balance)</t>
  </si>
  <si>
    <t>Status</t>
  </si>
  <si>
    <t>Sr. No.</t>
  </si>
  <si>
    <t>Project</t>
  </si>
  <si>
    <t>Total Value</t>
  </si>
  <si>
    <t>Validity</t>
  </si>
  <si>
    <t>Invoice #</t>
  </si>
  <si>
    <t>Stage</t>
  </si>
  <si>
    <t>Amount</t>
  </si>
  <si>
    <t>GST</t>
  </si>
  <si>
    <t>Date Raised</t>
  </si>
  <si>
    <t>Amount to be Received post Deductions</t>
  </si>
  <si>
    <t>Amount Received</t>
  </si>
  <si>
    <t>Money Received On</t>
  </si>
  <si>
    <t>Reminder Sent on</t>
  </si>
  <si>
    <t xml:space="preserve">Amount Pending </t>
  </si>
  <si>
    <t>Mtech Hyd Google RC Design</t>
  </si>
  <si>
    <t>31st March 2025</t>
  </si>
  <si>
    <t>completed</t>
  </si>
  <si>
    <t>Swiggy- Bundl Technologies</t>
  </si>
  <si>
    <t>29th March, 2019</t>
  </si>
  <si>
    <t>1st April, 2019</t>
  </si>
  <si>
    <t xml:space="preserve">Data Collection Stage </t>
  </si>
  <si>
    <t>3rd May, 2019</t>
  </si>
  <si>
    <t xml:space="preserve">Data Analysis Stage </t>
  </si>
  <si>
    <t>6th Aug, 2019</t>
  </si>
  <si>
    <t xml:space="preserve">Projection Documentation </t>
  </si>
  <si>
    <t>included in P14</t>
  </si>
  <si>
    <t xml:space="preserve">Timeline Projections </t>
  </si>
  <si>
    <t xml:space="preserve">Fine-tuning with Operations </t>
  </si>
  <si>
    <t xml:space="preserve">Final Model Submission </t>
  </si>
  <si>
    <t>ITC Narmada- Pan Chinese</t>
  </si>
  <si>
    <t>On signing the addendum</t>
  </si>
  <si>
    <t>1st May, 2019</t>
  </si>
  <si>
    <t>On finalizing Concept and Schematic</t>
  </si>
  <si>
    <t>1st Aug, 2019</t>
  </si>
  <si>
    <t>12th June, 2019</t>
  </si>
  <si>
    <t xml:space="preserve">Tender Documenation &amp; Elevation </t>
  </si>
  <si>
    <t>31st Aug, 2019</t>
  </si>
  <si>
    <t>2nd Aug, 2019</t>
  </si>
  <si>
    <t>The Oberoi Bangalore</t>
  </si>
  <si>
    <t>10th June 2019 to 9th Dec 2019</t>
  </si>
  <si>
    <t>Review of kitchen layout plan, value addition, and optimization in design, suggestions and modifications wherever required.</t>
  </si>
  <si>
    <t>5th Sep, 2019</t>
  </si>
  <si>
    <t xml:space="preserve"> Suggest equipment vendors and historical performance analysis of selected vendors</t>
  </si>
  <si>
    <t>Costing and Budget of all equipments, review and recommendations for obtaining Executive Chairman approvals</t>
  </si>
  <si>
    <t>Assisting in coordinating with MEP consultants for designing kitchen related services</t>
  </si>
  <si>
    <t>TOBL Rim Naam</t>
  </si>
  <si>
    <t>10th June 2019 to 9th Feb 2020</t>
  </si>
  <si>
    <t>Visit the Unit and review with General Manager and operating team before concluding the layout plans and recommending the equipment suppliers.</t>
  </si>
  <si>
    <t>15th Nov, 2019</t>
  </si>
  <si>
    <t>22nd Jan, 2020</t>
  </si>
  <si>
    <t>Visit and inspection of various equipment manufacturers factories for quality parameters and certification for dispatch</t>
  </si>
  <si>
    <t xml:space="preserve">1.1 Conceptualization Stage </t>
  </si>
  <si>
    <t>3rd Dec, 2019</t>
  </si>
  <si>
    <t xml:space="preserve">1.2 Schematic Drawing Stage </t>
  </si>
  <si>
    <t>Competed</t>
  </si>
  <si>
    <t>HYUNDAI MOTOR INDIA LIMITED - MAIN DINING</t>
  </si>
  <si>
    <t>6th May, 2022</t>
  </si>
  <si>
    <t>Claridges Hotel</t>
  </si>
  <si>
    <t>13th June 2022 to 12th Dec 2022</t>
  </si>
  <si>
    <t>Upon Commencement of Services 2,00,000</t>
  </si>
  <si>
    <t>13th June 2022</t>
  </si>
  <si>
    <t>The Oberoi Mumbai - Fenix + Vetro</t>
  </si>
  <si>
    <t>10th Dec 2021 to 5th Dec 2022</t>
  </si>
  <si>
    <t>Design Development Stage</t>
  </si>
  <si>
    <t>2nd July, 2022</t>
  </si>
  <si>
    <t>The Oberoi Rajgarh</t>
  </si>
  <si>
    <t>6th Dec 2021 to 5th April 2025</t>
  </si>
  <si>
    <t>Conceptualization Stage</t>
  </si>
  <si>
    <t>HYUNDAI MOTOR INDIA LIMITED - EXTENSION MAIN DINING</t>
  </si>
  <si>
    <t>Contract Extension</t>
  </si>
  <si>
    <t>27th June, 2022</t>
  </si>
  <si>
    <t>Rework- Conceptual Design &amp; Area Zoning</t>
  </si>
  <si>
    <t>3.1 Conceptual Design 2,50,000</t>
  </si>
  <si>
    <t>KA Hospitality "J" Restaurant</t>
  </si>
  <si>
    <t>10th July 2022 to 9th March 2023</t>
  </si>
  <si>
    <t>25th June, 2022</t>
  </si>
  <si>
    <t>3rd Aug, 2022</t>
  </si>
  <si>
    <t>20th Aug, 2022</t>
  </si>
  <si>
    <t>11th Dec 2021 to 5th Dec 2022</t>
  </si>
  <si>
    <t>Equipment Evaluation and Shop Drawing Review</t>
  </si>
  <si>
    <t>22nd Aug 2022</t>
  </si>
  <si>
    <t>Schematic Drawing Stage</t>
  </si>
  <si>
    <t>Design Development Stage - 80% of 520000</t>
  </si>
  <si>
    <t>Rework – Equipment Layout and Detailed Design</t>
  </si>
  <si>
    <t>Maisang- Guwahati Enhancement</t>
  </si>
  <si>
    <t>May 2022 to May 2024</t>
  </si>
  <si>
    <t xml:space="preserve">CONTRACT EXTENSION FEE </t>
  </si>
  <si>
    <t>12th Sep, 2022</t>
  </si>
  <si>
    <t>Maisang - Arunachal Pradesh Enhancement</t>
  </si>
  <si>
    <t xml:space="preserve">CONTRACT EXTENSION FEE – TWO YEARS </t>
  </si>
  <si>
    <t>3.2 Schematic Design 75% of 2,50,000</t>
  </si>
  <si>
    <t>16th Sep, 2022</t>
  </si>
  <si>
    <t>3.2 Schematic Design 25% of 2,50,000</t>
  </si>
  <si>
    <t>21st Sep, 2022</t>
  </si>
  <si>
    <t xml:space="preserve">3.3 Design Development 50% of 2,50,000 </t>
  </si>
  <si>
    <t>HOSPITALITY FACILITY DESIGN ADVISORY (PRO-RATED QUATERLY) May 2022 to July 2022)</t>
  </si>
  <si>
    <t>HOSPITALITY FACILITY DESIGN ADVISORY (PRO-RATED QUATERLY) Aug 2022 to Oct 2022</t>
  </si>
  <si>
    <t>Serendipity Arts - Complete Design Services</t>
  </si>
  <si>
    <t>7th Nov 2022 to 6th May 2026</t>
  </si>
  <si>
    <t xml:space="preserve">Mobilisation advance on commencement </t>
  </si>
  <si>
    <t>21stNov, 2022</t>
  </si>
  <si>
    <t>15th Dec, 2022</t>
  </si>
  <si>
    <t>Serendipity Arts - Advisory Services for Leased Out Areas</t>
  </si>
  <si>
    <t>12th Dec 2021 to 5th Dec 2022</t>
  </si>
  <si>
    <t>Site Coordination</t>
  </si>
  <si>
    <t>8th Dec 2022</t>
  </si>
  <si>
    <t>3.4 Tender Documentation 1,50,000</t>
  </si>
  <si>
    <t>8th Dec, 2022</t>
  </si>
  <si>
    <t>Porbandar Palace Phase 1</t>
  </si>
  <si>
    <t>12th Dec 2022 to 7th Dec 2023</t>
  </si>
  <si>
    <t>16th Dec, 2022</t>
  </si>
  <si>
    <t>Equipment Finalization and Tender Documentation</t>
  </si>
  <si>
    <t>17th Jan, 2023</t>
  </si>
  <si>
    <t>Design Development Stage - 20% of 520000</t>
  </si>
  <si>
    <t>Postcard Kanha</t>
  </si>
  <si>
    <t>3rd Feb 2023 to 2nd Aug 2024</t>
  </si>
  <si>
    <t>1st Feb 2023 to 30th July 2025</t>
  </si>
  <si>
    <t>Marriott Shoghi</t>
  </si>
  <si>
    <t>7th Feb, 2023</t>
  </si>
  <si>
    <t>Postcard Ranthambore</t>
  </si>
  <si>
    <t>23rd Feb 2023 to 22nd Feb 2025</t>
  </si>
  <si>
    <t>1st March, 2023</t>
  </si>
  <si>
    <t>HOSPITALITY FACILITY DESIGN ADVISORY (PRO-RATED QUATERLY) Nov 2022 to Jan 2023)</t>
  </si>
  <si>
    <t>HOSPITALITY FACILITY DESIGN ADVISORY (PRO-RATED QUATERLY) Feb 2023 to April 2023</t>
  </si>
  <si>
    <t>3.5 Tender Evaluation 50,000</t>
  </si>
  <si>
    <t>3.6 Services Provided during Construction 50,000</t>
  </si>
  <si>
    <t xml:space="preserve">CONCEPT DESIGN ADDITIONAL AREAS + TWEAKS IN CURRENT DESIGN </t>
  </si>
  <si>
    <t xml:space="preserve">SCHEMATIC DESIGN ADDITIONAL AREAS + TWEAKS IN CURRENT DESIGN </t>
  </si>
  <si>
    <t xml:space="preserve">DETAIL DESIGN – ADDITIONAL AREAS + TWEAKS IN CURRENT DESIGN </t>
  </si>
  <si>
    <t>4th April, 2023</t>
  </si>
  <si>
    <t>Porbandar Palace Phase 2</t>
  </si>
  <si>
    <t>7th April 2023 to 6th Oct 2024</t>
  </si>
  <si>
    <t>14th April, 2023</t>
  </si>
  <si>
    <t>DLF Club 4</t>
  </si>
  <si>
    <t>23rd Oct 2023 to 22nd Oct 2026</t>
  </si>
  <si>
    <t>9th April 2024</t>
  </si>
  <si>
    <t>Asian Paints Nilaya Mumbai Comorin</t>
  </si>
  <si>
    <t>30th Jan 2024 to 31st Aug 2024</t>
  </si>
  <si>
    <t>Radisson Blu Kolkatta DS Group</t>
  </si>
  <si>
    <t>26th Feb 2024 to 11th Aug 2026</t>
  </si>
  <si>
    <t>Conceptual Design -80% of 400000</t>
  </si>
  <si>
    <t>25th April 2024</t>
  </si>
  <si>
    <t>Conceptual Design -20% of 400000</t>
  </si>
  <si>
    <t>2nd May, 2024</t>
  </si>
  <si>
    <t>Radisson MBD</t>
  </si>
  <si>
    <t>19th Dec 2023 to 18th Sep 2024</t>
  </si>
  <si>
    <t>Conceptual Design- 50%</t>
  </si>
  <si>
    <t>6th June, 2024</t>
  </si>
  <si>
    <t>HOSPITALITY FACILITY DESIGN ADVISORY (PRO-RATED QUATERLY) Feb 2024 to May 2024)</t>
  </si>
  <si>
    <t>Kuchaman Fort</t>
  </si>
  <si>
    <t>16th April 2024 to 15th April 2028</t>
  </si>
  <si>
    <t>10th June 2024</t>
  </si>
  <si>
    <t>Antara Noida</t>
  </si>
  <si>
    <t>10th Jan 2024 to 9th Jan 2025</t>
  </si>
  <si>
    <t>Against LOI</t>
  </si>
  <si>
    <t>On Completion of Conceptual Design
Stage Post Sign-off.</t>
  </si>
  <si>
    <t>12th June 2024</t>
  </si>
  <si>
    <t>Chalet - The Resort - Madh</t>
  </si>
  <si>
    <t>11th Jan 2023 to 10th Jan 2028</t>
  </si>
  <si>
    <t>Consultancy Services on submission of Concept</t>
  </si>
  <si>
    <t>4th July 2024</t>
  </si>
  <si>
    <t xml:space="preserve">(15% on submission of Schematic Design </t>
  </si>
  <si>
    <t>Courtyard Marriott / LM Ahmedabad</t>
  </si>
  <si>
    <t>25th July 2023 to 24th Jan 2027</t>
  </si>
  <si>
    <t>Tendering Stage 15% (65% of stage)</t>
  </si>
  <si>
    <t>1st Aug, 2024</t>
  </si>
  <si>
    <t>On completion of Detailed Design Phase
post Sign-off -</t>
  </si>
  <si>
    <t>Aug</t>
  </si>
  <si>
    <t>RMZ EW20 Design</t>
  </si>
  <si>
    <t>18th Jan 2024 to 17th Jan 2026</t>
  </si>
  <si>
    <t>8th Aug 2024</t>
  </si>
  <si>
    <t>RMZ EW20 Advisory</t>
  </si>
  <si>
    <t>Conceptual Broad level Zoning</t>
  </si>
  <si>
    <t>10th Sep, 2024</t>
  </si>
  <si>
    <t>3.1 Conceptual Design 25%</t>
  </si>
  <si>
    <t>7th Oct 2024</t>
  </si>
  <si>
    <t>Design Development Stage 15%</t>
  </si>
  <si>
    <t>15th Oct 2024</t>
  </si>
  <si>
    <t>Tender Specifications &amp; Construction Documentation  - 40% of stage total of 3,47,000</t>
  </si>
  <si>
    <t>Sep</t>
  </si>
  <si>
    <t>1st Nov 2024</t>
  </si>
  <si>
    <t xml:space="preserve">Detailed Design </t>
  </si>
  <si>
    <t>Tender Documentation Phase Post Sign-
off.</t>
  </si>
  <si>
    <t>RMZ Loft</t>
  </si>
  <si>
    <t>HOSPITALITY FACILITY DESIGN ADVISORY (PRO-RATED QUATERLY) jUNE 2024 to aUG 2024)</t>
  </si>
  <si>
    <t>HOSPITALITY FACILITY DESIGN ADVISORY (PRO-RATED QUATERLY) jUNE 2024 to aUG 2024))</t>
  </si>
  <si>
    <t>HOSPITALITY FACILITY DESIGN ADVISORY (PRO-RATED QUATERLY) Sep 2024 to Nov 2024)</t>
  </si>
  <si>
    <t>1st Dec 2024</t>
  </si>
  <si>
    <t>HoABL Sarayu Ayodhya</t>
  </si>
  <si>
    <t>Sep 2024 to Sep 2026</t>
  </si>
  <si>
    <t>2nd Dec 2024</t>
  </si>
  <si>
    <t>On submission &amp; approval of Concept Design (50%)</t>
  </si>
  <si>
    <t>12th Dec, 2024</t>
  </si>
  <si>
    <t>On conceptual broad level zoning delivery - complete areas (to be paid on pro-rate in 8 equal installments)  - 50%</t>
  </si>
  <si>
    <t>MEP Allocation of all areas (to be paid on pro-rate basis</t>
  </si>
  <si>
    <t>Hyatt Regency Goa</t>
  </si>
  <si>
    <t>Schematic Design 10% (50% of stage)</t>
  </si>
  <si>
    <t>12th Dec 2024</t>
  </si>
  <si>
    <t>Dhun Jaipur</t>
  </si>
  <si>
    <t>3rd Dec 2024 to 2nd June 2026</t>
  </si>
  <si>
    <t>20th Dec, 2024</t>
  </si>
  <si>
    <t>3.1 Conceptual Design 50%</t>
  </si>
  <si>
    <t>3.2 Schematic Design 50%</t>
  </si>
  <si>
    <t>3.3   Design Development 75%</t>
  </si>
  <si>
    <t>Laxminivas Palace</t>
  </si>
  <si>
    <t>Aug 2023 to Feb 2025</t>
  </si>
  <si>
    <t>3.2   Schematic Design (50%)</t>
  </si>
  <si>
    <t>Tender Specifications &amp; Construction Documentation  - 60% of stage total of 3,47,000</t>
  </si>
  <si>
    <t>1st Feb, 2025</t>
  </si>
  <si>
    <t>4th Feb, 2025</t>
  </si>
  <si>
    <t>21st June 2025</t>
  </si>
  <si>
    <t>MEP Allocations</t>
  </si>
  <si>
    <t>Additional Fees rework Up to Schematic Stage</t>
  </si>
  <si>
    <t>On Commencement of Revit Model</t>
  </si>
  <si>
    <t>12th Feb 2025</t>
  </si>
  <si>
    <t>16th April, 2025</t>
  </si>
  <si>
    <t>Additional Fees on Account of Existing Hotel additional restaurant</t>
  </si>
  <si>
    <t>Taj Krish Raipur</t>
  </si>
  <si>
    <t>12th Feb 2025 to 11th Feb 2027</t>
  </si>
  <si>
    <t>Raipur Hotel - Bansal Infra</t>
  </si>
  <si>
    <t>Oct 2024 to Oct 2026</t>
  </si>
  <si>
    <t>Upon Commencement of Services 4,20,000</t>
  </si>
  <si>
    <t xml:space="preserve">3.1 Conceptual Design 315000 </t>
  </si>
  <si>
    <t>Tender Evaluation Stage 10% (65% of Stage)</t>
  </si>
  <si>
    <t>Max Estates 360- MEL Clubhouse</t>
  </si>
  <si>
    <t>Sep 2024 to Sep 2029 (12 months + 12 months)</t>
  </si>
  <si>
    <t>20th Sep, 2024</t>
  </si>
  <si>
    <t>Max Estates 360- ASL Clubhouse</t>
  </si>
  <si>
    <t>Max 361 ASL + MEL</t>
  </si>
  <si>
    <t>Feb 2025 to Jan 2030</t>
  </si>
  <si>
    <t>17th March 2025</t>
  </si>
  <si>
    <t>9th April, 2025</t>
  </si>
  <si>
    <t>Bhartiya - Coorg Masterplanning</t>
  </si>
  <si>
    <t>March 2025 to Sep 2025</t>
  </si>
  <si>
    <t>Bhartiya - Kabini Resort</t>
  </si>
  <si>
    <t>March 2025 to Sep 2028</t>
  </si>
  <si>
    <t xml:space="preserve">Upon Commencement </t>
  </si>
  <si>
    <t>Renaissance Bangalore- DS Group</t>
  </si>
  <si>
    <t>11th March 2025 to 10th Sep 2027</t>
  </si>
  <si>
    <t xml:space="preserve">Upon commencement </t>
  </si>
  <si>
    <t>15th April, 2025</t>
  </si>
  <si>
    <t>over paid?</t>
  </si>
  <si>
    <t>Preparation and Brief</t>
  </si>
  <si>
    <t>5th June, 2025</t>
  </si>
  <si>
    <t>31st July, 2025</t>
  </si>
  <si>
    <t>Design Development 50%</t>
  </si>
  <si>
    <t>20th May, 2025</t>
  </si>
  <si>
    <t>Tender Documentation 50%</t>
  </si>
  <si>
    <t>Punj Dharamkot Project</t>
  </si>
  <si>
    <t>21st May 2025 to 20th May 2027</t>
  </si>
  <si>
    <t>3rd June 2025</t>
  </si>
  <si>
    <t>4th June 2025</t>
  </si>
  <si>
    <t>Tashkent Flight Services</t>
  </si>
  <si>
    <t>65000 USD</t>
  </si>
  <si>
    <t>4th June 2025 to 3rd June 2027</t>
  </si>
  <si>
    <t>4th June, 2025</t>
  </si>
  <si>
    <t>12th June, 2025</t>
  </si>
  <si>
    <t>clear</t>
  </si>
  <si>
    <t>10th June 2025</t>
  </si>
  <si>
    <t>21st July, 2025</t>
  </si>
  <si>
    <t>Construction Stage
a.) Verification of all documents/shop drawings submitted by Vendor or thirty days from Tender Evaluation, whichever is earlier - 10%</t>
  </si>
  <si>
    <t>13th June 2025</t>
  </si>
  <si>
    <t>25th July, 2025</t>
  </si>
  <si>
    <t>Tender Evaluation Stage 10% (35% of Stage)</t>
  </si>
  <si>
    <t>Tendering Stage 15% (35% of stage)</t>
  </si>
  <si>
    <t>Construction Stage
b.) Verification of all documents/shop drawings submitted by Vendor or sixty days from Tender Evaluation, whichever is earlier - 10%</t>
  </si>
  <si>
    <t>Concept design - Phase 1</t>
  </si>
  <si>
    <t>13th Aug 2025</t>
  </si>
  <si>
    <t>Schematic design - Phase 1 (50% of phase 1 ie 25% of total)</t>
  </si>
  <si>
    <t>Construction Administration 80%</t>
  </si>
  <si>
    <t>14th July 2025</t>
  </si>
  <si>
    <t>July</t>
  </si>
  <si>
    <t>HOSPITALITY FACILITY DESIGN ADVISORY (PRO-RATED QUATERLY) March 2025 to MAy 2025)</t>
  </si>
  <si>
    <t>18th July 2025</t>
  </si>
  <si>
    <t>28th July, 2025</t>
  </si>
  <si>
    <t>HOSPITALITY FACILITY DESIGN ADVISORY (PRO-RATED QUATERLY) Dec 2024 to Feb 2025)</t>
  </si>
  <si>
    <t>HOSPITALITY FACILITY DESIGN ADVISORY (PRO-RATED QUATERLY) Feb 2025 to May 2025)</t>
  </si>
  <si>
    <t>17th July, 2025</t>
  </si>
  <si>
    <t>3.1 Conceptual Design 15%</t>
  </si>
  <si>
    <t>18th July, 2025</t>
  </si>
  <si>
    <t>3.2 Schematic Design - 40%</t>
  </si>
  <si>
    <t>Concept Design</t>
  </si>
  <si>
    <t>8th oct, 18th Oct 2025</t>
  </si>
  <si>
    <t>5th Aug 2025</t>
  </si>
  <si>
    <t>advance in nov 2025</t>
  </si>
  <si>
    <t>20th Aug 2025</t>
  </si>
  <si>
    <t>July 2025 to Jan 2029</t>
  </si>
  <si>
    <t>25th Sep, 2025</t>
  </si>
  <si>
    <t>11th Aug, 2025</t>
  </si>
  <si>
    <t>Design Development Stage 15% - 40% of stage</t>
  </si>
  <si>
    <t>3rd Oct 2025</t>
  </si>
  <si>
    <t>Tendering Stage 15% - 40% of stage</t>
  </si>
  <si>
    <t>1st Sep 2025</t>
  </si>
  <si>
    <t>4th Feb 2026</t>
  </si>
  <si>
    <t>2nd Sep, 2025</t>
  </si>
  <si>
    <t>2nd sep, 2025</t>
  </si>
  <si>
    <t>29th Dec, 2025</t>
  </si>
  <si>
    <t xml:space="preserve">JWM Juhu Phase 1 </t>
  </si>
  <si>
    <t>18th June 2025 to 17th Dec 2027</t>
  </si>
  <si>
    <t>9th Sep 2025</t>
  </si>
  <si>
    <t>JWM Juhu Phase 2</t>
  </si>
  <si>
    <t>JWM Juhu Phase 3</t>
  </si>
  <si>
    <t>After Handing Over 5%</t>
  </si>
  <si>
    <t>16th Sep 2025</t>
  </si>
  <si>
    <t>8th Oct 2025</t>
  </si>
  <si>
    <t>11th Dec 2025</t>
  </si>
  <si>
    <t>HOSPITALITY FACILITY DESIGN ADVISORY (PRO-RATED QUATERLY) jUNE 2025 to aUG 2025)</t>
  </si>
  <si>
    <t>13th Oct 2025</t>
  </si>
  <si>
    <t>3rd Dec 2025</t>
  </si>
  <si>
    <t>Schematic design - Phase 2</t>
  </si>
  <si>
    <t>Detailed design (50% of Stage 1 ie 25% of Total)</t>
  </si>
  <si>
    <t>Tender documentation (50% of Stage 1 ie 25% of Total)</t>
  </si>
  <si>
    <t>Tender evaluation (50% of Stage 1 ie 25% of Total)</t>
  </si>
  <si>
    <t>17th Oct 2025</t>
  </si>
  <si>
    <t>18th Nov 2025</t>
  </si>
  <si>
    <t>RMZ Spire</t>
  </si>
  <si>
    <t>Upong Commencement</t>
  </si>
  <si>
    <t>6th Dec 2025</t>
  </si>
  <si>
    <t>13th Nov 2025</t>
  </si>
  <si>
    <t>9th Dec 2025</t>
  </si>
  <si>
    <t>1st Dec 2025</t>
  </si>
  <si>
    <t>29th Jan, 2026</t>
  </si>
  <si>
    <t>Maisang- Guwahati</t>
  </si>
  <si>
    <t>11th May, 2020 to 10th May 2022</t>
  </si>
  <si>
    <t>Maisang - Arunachal Pradesh</t>
  </si>
  <si>
    <t>5th Aug, 2020</t>
  </si>
  <si>
    <t>28th Oct, 2020</t>
  </si>
  <si>
    <t>31st Oct, 2020</t>
  </si>
  <si>
    <t xml:space="preserve">1.3 Equipment Finalization </t>
  </si>
  <si>
    <t>10th Nov, 2020</t>
  </si>
  <si>
    <t>25th Dec, 2020</t>
  </si>
  <si>
    <t xml:space="preserve">1.4 Design Development Stage </t>
  </si>
  <si>
    <t xml:space="preserve">1.5 Equipment Specifications Stage </t>
  </si>
  <si>
    <t xml:space="preserve">1.6 Equipment Evaluation and Shop Drawing Review Stage </t>
  </si>
  <si>
    <t xml:space="preserve">1.7 Site Coordination and Testing/Commissioning of equipment </t>
  </si>
  <si>
    <t>HYUNDAI MOTOR INDIA LIMITED</t>
  </si>
  <si>
    <t xml:space="preserve">1st Nov, 2020 to 31st March 2021 </t>
  </si>
  <si>
    <t>On Signing the agreement / On commencement of Work</t>
  </si>
  <si>
    <t>11th Nov, 2020</t>
  </si>
  <si>
    <t>1st dec, 2020</t>
  </si>
  <si>
    <t>3rd Dec, 2020</t>
  </si>
  <si>
    <t>11th Dec, 2020</t>
  </si>
  <si>
    <t xml:space="preserve">3.2 MEP Block Loads </t>
  </si>
  <si>
    <t xml:space="preserve">3.3 Area Zoning </t>
  </si>
  <si>
    <t xml:space="preserve">3.4 Equipment Layouts and Detailed Design </t>
  </si>
  <si>
    <t xml:space="preserve">3.5 Tender Documentation </t>
  </si>
  <si>
    <t>23rd Dec, 2020</t>
  </si>
  <si>
    <t>22nd Jan, 2021</t>
  </si>
  <si>
    <t>The Oberoi - Trident Bhuwaneswar</t>
  </si>
  <si>
    <t>10th Nov, 2020 to 9th May 2024</t>
  </si>
  <si>
    <t>Visit the Unit, review existing facility and discuss operational requirements with the General Manager and Operating Team. Submit Observations and assessment report</t>
  </si>
  <si>
    <t>5th April, 2021</t>
  </si>
  <si>
    <t>31st May, 2021</t>
  </si>
  <si>
    <t>Review kitchen layout plans, design optimization, make suggestions wherever required and provide revised layout plans incorporating recommended modifications</t>
  </si>
  <si>
    <t>The Oberoi Cecil</t>
  </si>
  <si>
    <t>26th May, 2021</t>
  </si>
  <si>
    <t>LOI on commencement of Work</t>
  </si>
  <si>
    <t>1st uly, 2021</t>
  </si>
  <si>
    <t>10th Aug, 2021</t>
  </si>
  <si>
    <t>Testing And Commissioning</t>
  </si>
  <si>
    <t>8th Sep, 2021</t>
  </si>
  <si>
    <t>28th Sep, 2021</t>
  </si>
  <si>
    <t>16th Sep, 2021</t>
  </si>
  <si>
    <t>8th Oct, 2021</t>
  </si>
  <si>
    <t>Equipment layout &amp; Detailed Design</t>
  </si>
  <si>
    <t>2nd Dec, 2021</t>
  </si>
  <si>
    <t>24th Jan, 2022</t>
  </si>
  <si>
    <t>29th Jan, 2022</t>
  </si>
  <si>
    <t>6th Dec 2021 to 5th Dec 2022</t>
  </si>
  <si>
    <t>2nd Feb, 2022</t>
  </si>
  <si>
    <t>7th Dec 2021 to 5th Dec 2022</t>
  </si>
  <si>
    <t>4th Jan, 2022</t>
  </si>
  <si>
    <t>8th Dec 2021 to 5th Dec 2022</t>
  </si>
  <si>
    <t>3rd Feb, 2022</t>
  </si>
  <si>
    <t>3rd March, 2022</t>
  </si>
  <si>
    <t>9th Dec 2021 to 5th Dec 2022</t>
  </si>
  <si>
    <t>As required, suggest equipment specifications and historical performance analysis of manufacturers</t>
  </si>
  <si>
    <t>Review budget and equipment costs. Recomment value engineering solutions as applicable</t>
  </si>
  <si>
    <t>22nd May 2023</t>
  </si>
  <si>
    <t>Extension</t>
  </si>
  <si>
    <t>3rd July, 2023</t>
  </si>
  <si>
    <t>Ranata Havelock</t>
  </si>
  <si>
    <t>10th July 2023 to 9th July 2025</t>
  </si>
  <si>
    <t>Upon Commencemet</t>
  </si>
  <si>
    <t>10th July 2023</t>
  </si>
  <si>
    <t>27th July 2023</t>
  </si>
  <si>
    <t>3rd Aug, 2023</t>
  </si>
  <si>
    <t>Shillim Retreat - Writer Lifestyle</t>
  </si>
  <si>
    <t>29th July 2023 to 28th July 2024</t>
  </si>
  <si>
    <t>2nd Aug, 2023</t>
  </si>
  <si>
    <t>HOSPITALITY FACILITY DESIGN ADVISORY (PRO-RATED QUATERLY) May 2023 to July 2023</t>
  </si>
  <si>
    <t>4th Aug 2023</t>
  </si>
  <si>
    <t>11th Aug 2023 to 10th Feb 2025</t>
  </si>
  <si>
    <t>11th Aug 2023</t>
  </si>
  <si>
    <t>19th Aug, 2023</t>
  </si>
  <si>
    <t>Conceptual Design 10%</t>
  </si>
  <si>
    <t>12th Sep, 2023</t>
  </si>
  <si>
    <t>9th Oct 2023</t>
  </si>
  <si>
    <t>3.1 Conceptual Design</t>
  </si>
  <si>
    <t>14th Oct 2023</t>
  </si>
  <si>
    <t>1st Nov, 2023</t>
  </si>
  <si>
    <t>HOSPITALITY FACILITY DESIGN ADVISORY (PRO-RATED QUATERLY) Aug 2023 to Oct 2023</t>
  </si>
  <si>
    <t xml:space="preserve">Upon appointment </t>
  </si>
  <si>
    <t>14th Nov 2023</t>
  </si>
  <si>
    <t>Dec</t>
  </si>
  <si>
    <t>8th Jan 2024</t>
  </si>
  <si>
    <t xml:space="preserve">Planning &amp; Design Charrettes </t>
  </si>
  <si>
    <t>25th Jan 2025</t>
  </si>
  <si>
    <t>1st Feb 2024</t>
  </si>
  <si>
    <t>HOSPITALITY FACILITY DESIGN ADVISORY (PRO-RATED QUATERLY) Nov 2023 to Jan 2024</t>
  </si>
  <si>
    <t>7th Feb 2023</t>
  </si>
  <si>
    <t>Schematic Design 10%</t>
  </si>
  <si>
    <t>7th Feb 2024</t>
  </si>
  <si>
    <t>27th Feb 2024</t>
  </si>
  <si>
    <t>2nd March 2024</t>
  </si>
  <si>
    <t>Consultancy Services Fees on Appointment</t>
  </si>
  <si>
    <t>2nd October 2023</t>
  </si>
  <si>
    <t>Construction Administration Phase (Hotel)</t>
  </si>
  <si>
    <t>19th Aug, 2019</t>
  </si>
  <si>
    <t>PAID IN VCDPL</t>
  </si>
  <si>
    <t>Visit the units as and when required while erection, testing and commissioning and certify.</t>
  </si>
  <si>
    <t>Upon Commissioning of Equipment</t>
  </si>
  <si>
    <t>13th Dec 2021 to 5th Dec 2022</t>
  </si>
  <si>
    <t>3.3 Design Development</t>
  </si>
  <si>
    <t>Against testing and commissioning of the areas</t>
  </si>
  <si>
    <t>2nd Dec 2025 to 1st Feb 2026</t>
  </si>
  <si>
    <t>Re-engagement Fee</t>
  </si>
  <si>
    <t>HOSPITALITY FACILITY DESIGN ADVISORY (PRO-RATED QUATERLY) Sep 2025 to Nov 2025)</t>
  </si>
  <si>
    <t>12th Dec, 2025</t>
  </si>
  <si>
    <t>21st Jan, 2026</t>
  </si>
  <si>
    <t>Developed Design</t>
  </si>
  <si>
    <t>Design Development 50%- Red Bar</t>
  </si>
  <si>
    <t>Advisory - prorated monthly- 4 months (April to JuLY)</t>
  </si>
  <si>
    <t>6TH Jan 2026</t>
  </si>
  <si>
    <t>18th Feb 2026</t>
  </si>
  <si>
    <t>10th Dec, 2025</t>
  </si>
  <si>
    <t>13th Feb 2026</t>
  </si>
  <si>
    <t>8th Jan 2026</t>
  </si>
  <si>
    <t>Technical Design</t>
  </si>
  <si>
    <t>13th March 2026</t>
  </si>
  <si>
    <t>On Completion of Schematic Stage Revit Model</t>
  </si>
  <si>
    <t>Construction Administration 20%</t>
  </si>
  <si>
    <t>15th March 2026</t>
  </si>
  <si>
    <t>Design Development Stage 15% - 60% of stage</t>
  </si>
  <si>
    <t>3.3   Design Development 25%</t>
  </si>
  <si>
    <t>HOSPITALITY FACILITY DESIGN ADVISORY (PRO-RATED QUATERLY) Dec 2025 to Feb 2026)</t>
  </si>
  <si>
    <t>Detailed design (Phase 2)</t>
  </si>
  <si>
    <t xml:space="preserve">Tender documentation (Phase 2) </t>
  </si>
  <si>
    <t>Tender evaluation (Phase 2)</t>
  </si>
  <si>
    <t xml:space="preserve">Construction administration </t>
  </si>
  <si>
    <t>Against completion of Tender Stage / Tender Evaluation</t>
  </si>
  <si>
    <t>Against construction stage (on pro-rate in 8 equal instalments)</t>
  </si>
  <si>
    <t>Tender Documenation</t>
  </si>
  <si>
    <t>Tender Evaluation &amp; Shop Drawing Approval</t>
  </si>
  <si>
    <t>Tendering Stage 15% - 60% of stage</t>
  </si>
  <si>
    <t>Tender Evaluation Stage 10%</t>
  </si>
  <si>
    <t>Concept design - Phase 2</t>
  </si>
  <si>
    <t>Against Tender Documentation</t>
  </si>
  <si>
    <t>On submission &amp; approval of Detailed Design</t>
  </si>
  <si>
    <t>3.6 Services Provided during Construction</t>
  </si>
  <si>
    <t>15% On Submission of Tender Documents</t>
  </si>
  <si>
    <t>3.3 Design Development - 60%</t>
  </si>
  <si>
    <t xml:space="preserve">SCHEMATIC DESIGN REVISION (HOTEL BLOCK) </t>
  </si>
  <si>
    <t xml:space="preserve">DETAIL DESIGN REVISION (HOTEL BLOCK) </t>
  </si>
  <si>
    <t>On submission &amp; approval of Schematic Design</t>
  </si>
  <si>
    <t>3.3 Design Development - 40%</t>
  </si>
  <si>
    <t xml:space="preserve">15% on 100% DD </t>
  </si>
  <si>
    <t xml:space="preserve">15% on 50% DD </t>
  </si>
  <si>
    <t>3.7 Testing &amp; Commissioning</t>
  </si>
  <si>
    <t>Sign off on submittals by Kitchen Vendor / Tender evaluation</t>
  </si>
  <si>
    <t>Final Commissioning and Handover Stage</t>
  </si>
  <si>
    <t>3.1 Conceptual Design 60%</t>
  </si>
  <si>
    <t>3.2 Schematic Design -60%</t>
  </si>
  <si>
    <t>3.4 Tender Documentation</t>
  </si>
  <si>
    <t>3.5 Tender Evaluation</t>
  </si>
  <si>
    <t>Services provided during Construction</t>
  </si>
  <si>
    <t>On Completion of Design Development stage Revit Model</t>
  </si>
  <si>
    <t>3.1 Conceptual Design - Balance</t>
  </si>
  <si>
    <t>not clear</t>
  </si>
  <si>
    <t>29th Jan 2025</t>
  </si>
  <si>
    <t>Mtech Hyd Google RC Design- Travel</t>
  </si>
  <si>
    <t>Construction</t>
  </si>
  <si>
    <t>Handover and Closeout</t>
  </si>
  <si>
    <t>JWM Juhu Phase 1</t>
  </si>
  <si>
    <t>Upon commencement  - Executive Lounge</t>
  </si>
  <si>
    <t>Concept design - Executive Lounge</t>
  </si>
  <si>
    <t>Schematic design - Executive Lounge</t>
  </si>
  <si>
    <t>Detailed design - Executive Lounge</t>
  </si>
  <si>
    <t>Tender documentation - Executive Lounge</t>
  </si>
  <si>
    <t>Tender evaluation - Executive Lounge</t>
  </si>
  <si>
    <t>Construction administration - Executive Lounge</t>
  </si>
  <si>
    <t>Upon commencement - Chor Bizarre</t>
  </si>
  <si>
    <t>Concept design - Chor Bizarre</t>
  </si>
  <si>
    <t>Schematic design - Chor Bizarre</t>
  </si>
  <si>
    <t>Detailed design - Chor Bizarre</t>
  </si>
  <si>
    <t>Tender documentation - Chor Bizarre</t>
  </si>
  <si>
    <t>Tender evaluation - Chor Bizarre</t>
  </si>
  <si>
    <t>Construction administration - Chor Bizarre</t>
  </si>
  <si>
    <t>RIL Khrishiv Farm Villa- Nathwani Residence Alibaug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</si>
</sst>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_ ;_ @_ "/>
  </numFmts>
  <fonts count="5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"/>
    </font>
    <font>
      <sz val="12"/>
      <color rgb="FF00000A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A"/>
      <name val="Calibri"/>
      <family val="2"/>
      <scheme val="minor"/>
    </font>
    <font>
      <sz val="11"/>
      <color rgb="FF1C252C"/>
      <name val="Calibri"/>
      <family val="2"/>
      <scheme val="minor"/>
    </font>
    <font>
      <sz val="12"/>
      <color rgb="FF000009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IDFont+F3"/>
    </font>
    <font>
      <sz val="11"/>
      <color rgb="FF000000"/>
      <name val="Calibri"/>
      <family val="2"/>
    </font>
    <font>
      <b/>
      <sz val="12"/>
      <color rgb="FF000000"/>
      <name val="CIDFont+F1"/>
    </font>
    <font>
      <sz val="12"/>
      <color rgb="FF000000"/>
      <name val="CIDFont+F3"/>
    </font>
    <font>
      <sz val="10"/>
      <color rgb="FF000000"/>
      <name val="ArialMT"/>
    </font>
    <font>
      <sz val="10"/>
      <color rgb="FF000000"/>
      <name val="TimesNewRomanPSMT"/>
    </font>
    <font>
      <sz val="11"/>
      <color rgb="FF1C252C"/>
      <name val="Arial"/>
      <family val="2"/>
    </font>
    <font>
      <sz val="11"/>
      <color rgb="FF000000"/>
      <name val="CIDFont+F4"/>
    </font>
    <font>
      <i/>
      <sz val="10"/>
      <color rgb="FF000000"/>
      <name val="Calibri"/>
      <family val="2"/>
    </font>
    <font>
      <sz val="12"/>
      <color rgb="FF00000A"/>
      <name val="CIDFont+F3"/>
    </font>
    <font>
      <sz val="11"/>
      <color rgb="FF000000"/>
      <name val="Aptos Narrow"/>
      <family val="2"/>
    </font>
    <font>
      <sz val="9"/>
      <color rgb="FF000000"/>
      <name val="Helvetica"/>
    </font>
    <font>
      <sz val="13"/>
      <color rgb="FF000000"/>
      <name val="Helvetica"/>
    </font>
    <font>
      <sz val="11"/>
      <color rgb="FF000009"/>
      <name val="Bookman Old Style"/>
      <family val="1"/>
    </font>
    <font>
      <sz val="11"/>
      <color rgb="FF000000"/>
      <name val="Bookman Old Style"/>
      <family val="1"/>
    </font>
    <font>
      <i/>
      <sz val="12"/>
      <color rgb="FF000000"/>
      <name val="Calibri"/>
      <family val="2"/>
    </font>
    <font>
      <sz val="10"/>
      <color rgb="FF08123F"/>
      <name val="Calibri"/>
      <family val="2"/>
    </font>
    <font>
      <sz val="11"/>
      <color rgb="FF000000"/>
      <name val="CIDFont+F2"/>
    </font>
    <font>
      <sz val="11"/>
      <color rgb="FF000000"/>
      <name val="Calibri"/>
    </font>
    <font>
      <sz val="11"/>
      <color rgb="FF182127"/>
      <name val="Calibri"/>
      <family val="2"/>
      <scheme val="minor"/>
    </font>
    <font>
      <sz val="11"/>
      <color rgb="FF000009"/>
      <name val="Calibri"/>
      <family val="2"/>
      <scheme val="minor"/>
    </font>
    <font>
      <sz val="11"/>
      <color rgb="FF08123F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IDFont+F1"/>
    </font>
    <font>
      <sz val="8"/>
      <color rgb="FF000000"/>
      <name val="Arimo"/>
    </font>
    <font>
      <sz val="9"/>
      <color rgb="FF000000"/>
      <name val="Arial"/>
      <family val="2"/>
    </font>
    <font>
      <sz val="12"/>
      <color theme="1"/>
      <name val="Calibri Light"/>
      <family val="2"/>
    </font>
    <font>
      <sz val="10"/>
      <color rgb="FF000000"/>
      <name val="HelveticaNeueCyr-Roman"/>
    </font>
    <font>
      <sz val="11"/>
      <color rgb="FF000000"/>
      <name val="TimesNewRomanPSMT"/>
    </font>
    <font>
      <sz val="10"/>
      <color rgb="FF1C252C"/>
      <name val="ArialMT"/>
    </font>
    <font>
      <sz val="10"/>
      <name val="Arial"/>
      <family val="2"/>
    </font>
    <font>
      <sz val="10"/>
      <color rgb="FF000000"/>
      <name val="Arimo"/>
    </font>
    <font>
      <b/>
      <sz val="9"/>
      <color rgb="FF000000"/>
      <name val="Arial-boldmt"/>
    </font>
    <font>
      <sz val="10"/>
      <color rgb="FF000000"/>
      <name val="CIDFont+F3"/>
    </font>
    <font>
      <sz val="11"/>
      <color rgb="FF000000"/>
      <name val="CIDFont+F10"/>
    </font>
    <font>
      <sz val="12"/>
      <color rgb="FF000000"/>
      <name val="CIDFont+F4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1"/>
      </right>
      <top style="medium">
        <color rgb="FF000001"/>
      </top>
      <bottom style="medium">
        <color rgb="FF000001"/>
      </bottom>
      <diagonal/>
    </border>
    <border>
      <left/>
      <right style="medium">
        <color rgb="FF000001"/>
      </right>
      <top/>
      <bottom style="medium">
        <color rgb="FF000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1"/>
      </left>
      <right style="medium">
        <color rgb="FF000001"/>
      </right>
      <top style="medium">
        <color rgb="FF000001"/>
      </top>
      <bottom style="medium">
        <color rgb="FF000001"/>
      </bottom>
      <diagonal/>
    </border>
    <border>
      <left style="medium">
        <color rgb="FF000001"/>
      </left>
      <right style="medium">
        <color rgb="FF000001"/>
      </right>
      <top/>
      <bottom style="medium">
        <color rgb="FF000001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1"/>
      </right>
      <top/>
      <bottom style="medium">
        <color rgb="FF0000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1"/>
      </left>
      <right style="medium">
        <color rgb="FF000001"/>
      </right>
      <top style="medium">
        <color rgb="FF000001"/>
      </top>
      <bottom/>
      <diagonal/>
    </border>
    <border>
      <left style="medium">
        <color rgb="FF000001"/>
      </left>
      <right style="medium">
        <color rgb="FF000001"/>
      </right>
      <top/>
      <bottom/>
      <diagonal/>
    </border>
    <border>
      <left/>
      <right style="medium">
        <color rgb="FF000001"/>
      </right>
      <top/>
      <bottom/>
      <diagonal/>
    </border>
  </borders>
  <cellStyleXfs count="5">
    <xf numFmtId="0" fontId="0" fillId="0" borderId="5"/>
    <xf numFmtId="0" fontId="13" fillId="0" borderId="5"/>
    <xf numFmtId="43" fontId="30" fillId="0" borderId="5"/>
    <xf numFmtId="0" fontId="30" fillId="0" borderId="5"/>
    <xf numFmtId="9" fontId="30" fillId="0" borderId="5"/>
  </cellStyleXfs>
  <cellXfs count="515"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Border="1"/>
    <xf numFmtId="3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3" fontId="0" fillId="0" borderId="15" xfId="0" applyNumberForma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6" xfId="0" applyBorder="1" applyAlignment="1">
      <alignment wrapText="1"/>
    </xf>
    <xf numFmtId="3" fontId="0" fillId="0" borderId="13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0" fillId="0" borderId="12" xfId="0" applyBorder="1"/>
    <xf numFmtId="3" fontId="0" fillId="0" borderId="0" xfId="0" applyNumberFormat="1" applyBorder="1" applyAlignment="1">
      <alignment horizontal="center" vertical="center" wrapText="1"/>
    </xf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0" fillId="0" borderId="5" xfId="0" applyAlignment="1">
      <alignment horizontal="center" vertical="center" wrapText="1"/>
    </xf>
    <xf numFmtId="0" fontId="3" fillId="0" borderId="0" xfId="0" applyFont="1" applyBorder="1"/>
    <xf numFmtId="0" fontId="5" fillId="0" borderId="16" xfId="0" applyFont="1" applyBorder="1" applyAlignment="1">
      <alignment vertical="center" wrapText="1"/>
    </xf>
    <xf numFmtId="0" fontId="6" fillId="0" borderId="0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wrapText="1"/>
    </xf>
    <xf numFmtId="0" fontId="6" fillId="0" borderId="1" xfId="0" applyFont="1" applyBorder="1"/>
    <xf numFmtId="3" fontId="6" fillId="0" borderId="6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6" fillId="0" borderId="12" xfId="0" applyFont="1" applyBorder="1"/>
    <xf numFmtId="0" fontId="6" fillId="0" borderId="7" xfId="0" applyFont="1" applyBorder="1"/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3" fontId="6" fillId="0" borderId="1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5" xfId="0" applyFont="1" applyAlignment="1">
      <alignment wrapText="1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5" xfId="0" applyNumberFormat="1" applyFont="1" applyAlignment="1">
      <alignment horizontal="center" vertical="center" wrapText="1"/>
    </xf>
    <xf numFmtId="0" fontId="6" fillId="0" borderId="5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7" borderId="12" xfId="0" applyFont="1" applyFill="1" applyBorder="1" applyAlignment="1">
      <alignment horizontal="center" vertical="center" wrapText="1"/>
    </xf>
    <xf numFmtId="17" fontId="6" fillId="0" borderId="15" xfId="0" applyNumberFormat="1" applyFont="1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17" fontId="6" fillId="0" borderId="0" xfId="0" applyNumberFormat="1" applyFont="1" applyBorder="1" applyAlignment="1">
      <alignment horizontal="center"/>
    </xf>
    <xf numFmtId="0" fontId="6" fillId="0" borderId="6" xfId="0" applyFont="1" applyBorder="1"/>
    <xf numFmtId="0" fontId="6" fillId="0" borderId="0" xfId="0" applyFont="1" applyBorder="1" applyAlignment="1">
      <alignment horizontal="left" wrapText="1"/>
    </xf>
    <xf numFmtId="3" fontId="6" fillId="0" borderId="0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5" xfId="0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6" xfId="0" applyFont="1" applyBorder="1"/>
    <xf numFmtId="17" fontId="6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6" fillId="0" borderId="5" xfId="0" applyFont="1" applyAlignment="1">
      <alignment horizontal="left"/>
    </xf>
    <xf numFmtId="0" fontId="6" fillId="0" borderId="5" xfId="0" applyFont="1" applyAlignment="1">
      <alignment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/>
    </xf>
    <xf numFmtId="0" fontId="6" fillId="0" borderId="5" xfId="0" applyFont="1" applyAlignment="1">
      <alignment horizontal="left" wrapText="1"/>
    </xf>
    <xf numFmtId="0" fontId="6" fillId="0" borderId="5" xfId="0" applyFont="1" applyAlignment="1">
      <alignment horizontal="center"/>
    </xf>
    <xf numFmtId="0" fontId="5" fillId="0" borderId="23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3" fontId="3" fillId="0" borderId="0" xfId="0" applyNumberFormat="1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3" fontId="0" fillId="0" borderId="0" xfId="0" applyNumberFormat="1" applyBorder="1"/>
    <xf numFmtId="3" fontId="0" fillId="0" borderId="5" xfId="0" applyNumberFormat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 wrapText="1"/>
    </xf>
    <xf numFmtId="17" fontId="6" fillId="0" borderId="14" xfId="0" applyNumberFormat="1" applyFont="1" applyBorder="1" applyAlignment="1">
      <alignment horizontal="center"/>
    </xf>
    <xf numFmtId="0" fontId="9" fillId="0" borderId="12" xfId="1" applyFont="1" applyBorder="1" applyAlignment="1">
      <alignment horizontal="center"/>
    </xf>
    <xf numFmtId="0" fontId="5" fillId="0" borderId="5" xfId="0" applyFont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6" fillId="0" borderId="8" xfId="0" applyFont="1" applyBorder="1" applyAlignment="1">
      <alignment wrapText="1"/>
    </xf>
    <xf numFmtId="0" fontId="5" fillId="0" borderId="11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6" fillId="0" borderId="8" xfId="0" applyFont="1" applyBorder="1"/>
    <xf numFmtId="0" fontId="6" fillId="8" borderId="8" xfId="0" applyFont="1" applyFill="1" applyBorder="1" applyAlignment="1">
      <alignment wrapText="1"/>
    </xf>
    <xf numFmtId="3" fontId="6" fillId="0" borderId="11" xfId="0" applyNumberFormat="1" applyFont="1" applyBorder="1" applyAlignment="1">
      <alignment horizontal="center"/>
    </xf>
    <xf numFmtId="3" fontId="6" fillId="0" borderId="1" xfId="0" applyNumberFormat="1" applyFont="1" applyBorder="1"/>
    <xf numFmtId="0" fontId="3" fillId="0" borderId="5" xfId="0" applyFont="1" applyAlignment="1">
      <alignment horizontal="center" vertical="center" wrapText="1"/>
    </xf>
    <xf numFmtId="3" fontId="6" fillId="0" borderId="5" xfId="0" applyNumberFormat="1" applyFont="1" applyAlignment="1">
      <alignment horizontal="center"/>
    </xf>
    <xf numFmtId="0" fontId="6" fillId="0" borderId="23" xfId="0" applyFont="1" applyBorder="1" applyAlignment="1">
      <alignment vertical="center" wrapText="1"/>
    </xf>
    <xf numFmtId="0" fontId="0" fillId="0" borderId="5" xfId="0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3" fontId="17" fillId="0" borderId="1" xfId="0" applyNumberFormat="1" applyFont="1" applyBorder="1" applyAlignment="1">
      <alignment vertical="center" wrapText="1"/>
    </xf>
    <xf numFmtId="9" fontId="16" fillId="0" borderId="0" xfId="0" applyNumberFormat="1" applyFont="1" applyBorder="1" applyAlignment="1">
      <alignment vertical="center" wrapText="1"/>
    </xf>
    <xf numFmtId="3" fontId="17" fillId="0" borderId="0" xfId="0" applyNumberFormat="1" applyFont="1" applyBorder="1" applyAlignment="1">
      <alignment vertical="center" wrapText="1"/>
    </xf>
    <xf numFmtId="3" fontId="3" fillId="0" borderId="5" xfId="0" applyNumberFormat="1" applyFont="1" applyAlignment="1">
      <alignment horizontal="center" vertical="center" wrapText="1"/>
    </xf>
    <xf numFmtId="0" fontId="0" fillId="0" borderId="22" xfId="0" applyBorder="1" applyAlignment="1">
      <alignment wrapText="1"/>
    </xf>
    <xf numFmtId="3" fontId="0" fillId="0" borderId="22" xfId="0" applyNumberFormat="1" applyBorder="1" applyAlignment="1">
      <alignment horizontal="center" vertical="center" wrapText="1"/>
    </xf>
    <xf numFmtId="0" fontId="3" fillId="0" borderId="5" xfId="0" applyFont="1" applyAlignment="1">
      <alignment wrapText="1"/>
    </xf>
    <xf numFmtId="0" fontId="8" fillId="0" borderId="5" xfId="0" applyFont="1" applyAlignment="1">
      <alignment vertical="center" wrapText="1"/>
    </xf>
    <xf numFmtId="3" fontId="6" fillId="0" borderId="11" xfId="0" applyNumberFormat="1" applyFont="1" applyBorder="1" applyAlignment="1">
      <alignment horizontal="center" vertical="center" wrapText="1"/>
    </xf>
    <xf numFmtId="0" fontId="6" fillId="0" borderId="5" xfId="0" applyFont="1"/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5" xfId="0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5" xfId="0" applyFont="1" applyAlignment="1">
      <alignment horizont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6" fillId="8" borderId="11" xfId="0" applyNumberFormat="1" applyFont="1" applyFill="1" applyBorder="1" applyAlignment="1">
      <alignment horizontal="center" vertical="center" wrapText="1"/>
    </xf>
    <xf numFmtId="10" fontId="16" fillId="0" borderId="1" xfId="0" applyNumberFormat="1" applyFont="1" applyBorder="1" applyAlignment="1">
      <alignment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0" borderId="22" xfId="0" applyFont="1" applyBorder="1" applyAlignment="1">
      <alignment vertical="center" wrapText="1"/>
    </xf>
    <xf numFmtId="3" fontId="12" fillId="0" borderId="5" xfId="0" applyNumberFormat="1" applyFont="1" applyAlignment="1">
      <alignment horizontal="center" vertical="center" wrapText="1"/>
    </xf>
    <xf numFmtId="3" fontId="6" fillId="8" borderId="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 wrapText="1"/>
    </xf>
    <xf numFmtId="3" fontId="6" fillId="0" borderId="10" xfId="0" applyNumberFormat="1" applyFont="1" applyBorder="1" applyAlignment="1">
      <alignment horizontal="center"/>
    </xf>
    <xf numFmtId="3" fontId="19" fillId="0" borderId="11" xfId="0" applyNumberFormat="1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3" fontId="6" fillId="8" borderId="10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10" fillId="0" borderId="11" xfId="0" applyFont="1" applyBorder="1" applyAlignment="1">
      <alignment vertical="center" wrapText="1"/>
    </xf>
    <xf numFmtId="3" fontId="11" fillId="0" borderId="11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5" xfId="0" applyFont="1" applyAlignment="1">
      <alignment horizontal="left" vertical="center"/>
    </xf>
    <xf numFmtId="0" fontId="5" fillId="0" borderId="23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/>
    </xf>
    <xf numFmtId="3" fontId="3" fillId="0" borderId="22" xfId="0" applyNumberFormat="1" applyFont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 wrapText="1"/>
    </xf>
    <xf numFmtId="0" fontId="10" fillId="0" borderId="5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3" fontId="6" fillId="0" borderId="13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vertical="center" wrapText="1"/>
    </xf>
    <xf numFmtId="0" fontId="6" fillId="8" borderId="5" xfId="0" applyFont="1" applyFill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5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6" fillId="0" borderId="16" xfId="0" applyFont="1" applyBorder="1" applyAlignment="1">
      <alignment horizontal="left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3" fontId="26" fillId="0" borderId="1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6" fillId="0" borderId="20" xfId="0" applyFont="1" applyBorder="1" applyAlignment="1">
      <alignment horizontal="left" vertical="center"/>
    </xf>
    <xf numFmtId="3" fontId="6" fillId="0" borderId="5" xfId="0" applyNumberFormat="1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9" fillId="0" borderId="16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6" fillId="0" borderId="19" xfId="0" applyFont="1" applyBorder="1" applyAlignment="1">
      <alignment horizontal="left"/>
    </xf>
    <xf numFmtId="3" fontId="19" fillId="0" borderId="13" xfId="0" applyNumberFormat="1" applyFont="1" applyBorder="1" applyAlignment="1">
      <alignment vertical="center" wrapText="1"/>
    </xf>
    <xf numFmtId="3" fontId="6" fillId="0" borderId="19" xfId="0" applyNumberFormat="1" applyFont="1" applyBorder="1" applyAlignment="1">
      <alignment horizontal="center"/>
    </xf>
    <xf numFmtId="3" fontId="22" fillId="0" borderId="5" xfId="0" applyNumberFormat="1" applyFont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/>
    </xf>
    <xf numFmtId="0" fontId="27" fillId="0" borderId="1" xfId="0" applyFont="1" applyBorder="1" applyAlignment="1">
      <alignment horizontal="justify" vertical="center" wrapText="1"/>
    </xf>
    <xf numFmtId="9" fontId="16" fillId="0" borderId="1" xfId="0" applyNumberFormat="1" applyFont="1" applyBorder="1" applyAlignment="1">
      <alignment vertical="center" wrapText="1"/>
    </xf>
    <xf numFmtId="3" fontId="27" fillId="0" borderId="1" xfId="0" applyNumberFormat="1" applyFont="1" applyBorder="1" applyAlignment="1">
      <alignment horizontal="justify" vertical="center" wrapText="1"/>
    </xf>
    <xf numFmtId="0" fontId="6" fillId="0" borderId="20" xfId="0" applyFont="1" applyBorder="1" applyAlignment="1">
      <alignment horizontal="center" vertical="center"/>
    </xf>
    <xf numFmtId="3" fontId="22" fillId="0" borderId="0" xfId="0" applyNumberFormat="1" applyFont="1" applyBorder="1" applyAlignment="1">
      <alignment horizontal="center" vertical="center" wrapText="1"/>
    </xf>
    <xf numFmtId="0" fontId="15" fillId="0" borderId="5" xfId="0" applyFont="1" applyAlignment="1">
      <alignment vertical="center" wrapText="1"/>
    </xf>
    <xf numFmtId="0" fontId="6" fillId="9" borderId="1" xfId="0" applyFont="1" applyFill="1" applyBorder="1" applyAlignment="1">
      <alignment horizontal="center"/>
    </xf>
    <xf numFmtId="0" fontId="6" fillId="0" borderId="2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33" fillId="0" borderId="0" xfId="0" applyFont="1" applyBorder="1" applyAlignment="1">
      <alignment horizontal="center" vertical="center" wrapText="1"/>
    </xf>
    <xf numFmtId="0" fontId="8" fillId="0" borderId="5" xfId="0" applyFont="1" applyAlignment="1">
      <alignment horizontal="left" vertical="center" wrapText="1"/>
    </xf>
    <xf numFmtId="0" fontId="34" fillId="0" borderId="0" xfId="0" applyFont="1" applyBorder="1" applyAlignment="1">
      <alignment horizontal="justify" vertical="center" wrapText="1"/>
    </xf>
    <xf numFmtId="3" fontId="34" fillId="0" borderId="0" xfId="0" applyNumberFormat="1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3" fontId="6" fillId="0" borderId="28" xfId="0" applyNumberFormat="1" applyFont="1" applyBorder="1" applyAlignment="1">
      <alignment horizontal="center" vertical="center" wrapText="1"/>
    </xf>
    <xf numFmtId="3" fontId="6" fillId="0" borderId="28" xfId="0" applyNumberFormat="1" applyFont="1" applyBorder="1" applyAlignment="1">
      <alignment horizontal="center" vertical="center"/>
    </xf>
    <xf numFmtId="3" fontId="6" fillId="0" borderId="5" xfId="0" applyNumberFormat="1" applyFont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164" fontId="7" fillId="2" borderId="3" xfId="2" applyNumberFormat="1" applyFont="1" applyFill="1" applyBorder="1" applyAlignment="1">
      <alignment horizontal="center" vertical="center" wrapText="1"/>
    </xf>
    <xf numFmtId="164" fontId="6" fillId="0" borderId="20" xfId="2" applyNumberFormat="1" applyFont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 wrapText="1"/>
    </xf>
    <xf numFmtId="0" fontId="29" fillId="0" borderId="33" xfId="0" applyFont="1" applyBorder="1" applyAlignment="1">
      <alignment vertical="center" wrapText="1"/>
    </xf>
    <xf numFmtId="3" fontId="29" fillId="0" borderId="0" xfId="0" applyNumberFormat="1" applyFont="1" applyBorder="1" applyAlignment="1">
      <alignment vertical="center" wrapText="1"/>
    </xf>
    <xf numFmtId="3" fontId="6" fillId="0" borderId="20" xfId="0" applyNumberFormat="1" applyFont="1" applyBorder="1" applyAlignment="1">
      <alignment horizontal="center" vertical="center" wrapText="1"/>
    </xf>
    <xf numFmtId="0" fontId="30" fillId="0" borderId="5" xfId="3"/>
    <xf numFmtId="0" fontId="35" fillId="0" borderId="5" xfId="3" applyFont="1" applyAlignment="1">
      <alignment horizontal="center" vertical="center" wrapText="1"/>
    </xf>
    <xf numFmtId="0" fontId="30" fillId="10" borderId="5" xfId="3" applyFill="1"/>
    <xf numFmtId="0" fontId="36" fillId="0" borderId="5" xfId="3" applyFont="1"/>
    <xf numFmtId="0" fontId="30" fillId="0" borderId="5" xfId="3" applyAlignment="1">
      <alignment wrapText="1"/>
    </xf>
    <xf numFmtId="0" fontId="30" fillId="11" borderId="5" xfId="3" applyFill="1"/>
    <xf numFmtId="0" fontId="30" fillId="3" borderId="5" xfId="3" applyFill="1"/>
    <xf numFmtId="0" fontId="30" fillId="12" borderId="5" xfId="3" applyFill="1"/>
    <xf numFmtId="0" fontId="30" fillId="11" borderId="5" xfId="3" applyFill="1" applyAlignment="1">
      <alignment wrapText="1"/>
    </xf>
    <xf numFmtId="0" fontId="30" fillId="0" borderId="1" xfId="3" applyBorder="1"/>
    <xf numFmtId="0" fontId="3" fillId="0" borderId="5" xfId="3" applyFont="1"/>
    <xf numFmtId="3" fontId="39" fillId="0" borderId="5" xfId="3" applyNumberFormat="1" applyFont="1" applyAlignment="1">
      <alignment vertical="center" wrapText="1"/>
    </xf>
    <xf numFmtId="1" fontId="30" fillId="0" borderId="5" xfId="3" applyNumberFormat="1"/>
    <xf numFmtId="1" fontId="37" fillId="0" borderId="5" xfId="3" applyNumberFormat="1" applyFont="1"/>
    <xf numFmtId="0" fontId="30" fillId="4" borderId="5" xfId="3" applyFill="1" applyAlignment="1">
      <alignment wrapText="1"/>
    </xf>
    <xf numFmtId="17" fontId="30" fillId="0" borderId="5" xfId="3" applyNumberFormat="1"/>
    <xf numFmtId="0" fontId="30" fillId="4" borderId="5" xfId="3" applyFill="1"/>
    <xf numFmtId="0" fontId="38" fillId="0" borderId="5" xfId="3" applyFont="1"/>
    <xf numFmtId="14" fontId="30" fillId="0" borderId="5" xfId="3" applyNumberFormat="1"/>
    <xf numFmtId="0" fontId="40" fillId="0" borderId="5" xfId="3" applyFont="1" applyAlignment="1">
      <alignment vertical="center" wrapText="1"/>
    </xf>
    <xf numFmtId="0" fontId="39" fillId="0" borderId="5" xfId="3" applyFont="1" applyAlignment="1">
      <alignment vertical="center" wrapText="1"/>
    </xf>
    <xf numFmtId="0" fontId="3" fillId="0" borderId="5" xfId="3" applyFont="1" applyAlignment="1">
      <alignment wrapText="1"/>
    </xf>
    <xf numFmtId="3" fontId="30" fillId="0" borderId="5" xfId="3" applyNumberFormat="1"/>
    <xf numFmtId="0" fontId="3" fillId="0" borderId="5" xfId="3" applyFont="1" applyAlignment="1">
      <alignment vertical="center" wrapText="1"/>
    </xf>
    <xf numFmtId="0" fontId="5" fillId="0" borderId="5" xfId="3" applyFont="1" applyAlignment="1">
      <alignment vertical="center" wrapText="1"/>
    </xf>
    <xf numFmtId="0" fontId="41" fillId="0" borderId="5" xfId="3" applyFont="1" applyAlignment="1">
      <alignment vertical="center" wrapText="1"/>
    </xf>
    <xf numFmtId="3" fontId="3" fillId="0" borderId="5" xfId="3" applyNumberFormat="1" applyFont="1" applyAlignment="1">
      <alignment vertical="center" wrapText="1"/>
    </xf>
    <xf numFmtId="3" fontId="3" fillId="0" borderId="5" xfId="3" applyNumberFormat="1" applyFont="1" applyAlignment="1">
      <alignment horizontal="center" vertical="center" wrapText="1"/>
    </xf>
    <xf numFmtId="0" fontId="42" fillId="0" borderId="5" xfId="3" applyFont="1" applyAlignment="1">
      <alignment horizontal="justify" vertical="center"/>
    </xf>
    <xf numFmtId="0" fontId="43" fillId="0" borderId="5" xfId="3" applyFont="1"/>
    <xf numFmtId="0" fontId="3" fillId="0" borderId="5" xfId="3" applyFont="1" applyAlignment="1">
      <alignment horizontal="left" wrapText="1"/>
    </xf>
    <xf numFmtId="0" fontId="44" fillId="0" borderId="5" xfId="3" applyFont="1" applyAlignment="1">
      <alignment vertical="center" wrapText="1"/>
    </xf>
    <xf numFmtId="0" fontId="44" fillId="0" borderId="12" xfId="3" applyFont="1" applyBorder="1" applyAlignment="1">
      <alignment vertical="center" wrapText="1"/>
    </xf>
    <xf numFmtId="0" fontId="3" fillId="5" borderId="5" xfId="3" applyFont="1" applyFill="1"/>
    <xf numFmtId="0" fontId="44" fillId="6" borderId="5" xfId="3" applyFont="1" applyFill="1" applyAlignment="1">
      <alignment vertical="center" wrapText="1"/>
    </xf>
    <xf numFmtId="0" fontId="30" fillId="0" borderId="5" xfId="3" applyAlignment="1">
      <alignment horizontal="center" vertical="center"/>
    </xf>
    <xf numFmtId="3" fontId="30" fillId="0" borderId="5" xfId="3" applyNumberFormat="1" applyAlignment="1">
      <alignment horizontal="center" vertical="center"/>
    </xf>
    <xf numFmtId="0" fontId="45" fillId="0" borderId="5" xfId="3" applyFont="1"/>
    <xf numFmtId="0" fontId="30" fillId="5" borderId="5" xfId="3" applyFill="1"/>
    <xf numFmtId="0" fontId="18" fillId="0" borderId="5" xfId="3" applyFont="1"/>
    <xf numFmtId="0" fontId="3" fillId="0" borderId="22" xfId="3" applyFont="1" applyBorder="1" applyAlignment="1">
      <alignment vertical="center" wrapText="1"/>
    </xf>
    <xf numFmtId="3" fontId="3" fillId="6" borderId="5" xfId="3" applyNumberFormat="1" applyFont="1" applyFill="1" applyAlignment="1">
      <alignment horizontal="center" vertical="center" wrapText="1"/>
    </xf>
    <xf numFmtId="0" fontId="30" fillId="0" borderId="23" xfId="3" applyBorder="1"/>
    <xf numFmtId="0" fontId="39" fillId="0" borderId="23" xfId="3" applyFont="1" applyBorder="1" applyAlignment="1">
      <alignment vertical="center" wrapText="1"/>
    </xf>
    <xf numFmtId="0" fontId="42" fillId="0" borderId="22" xfId="3" applyFont="1" applyBorder="1" applyAlignment="1">
      <alignment horizontal="justify" vertical="center"/>
    </xf>
    <xf numFmtId="0" fontId="42" fillId="0" borderId="23" xfId="3" applyFont="1" applyBorder="1" applyAlignment="1">
      <alignment horizontal="justify" vertical="center"/>
    </xf>
    <xf numFmtId="0" fontId="39" fillId="0" borderId="12" xfId="3" applyFont="1" applyBorder="1" applyAlignment="1">
      <alignment vertical="center" wrapText="1"/>
    </xf>
    <xf numFmtId="0" fontId="21" fillId="0" borderId="12" xfId="3" applyFont="1" applyBorder="1" applyAlignment="1">
      <alignment vertical="center" wrapText="1"/>
    </xf>
    <xf numFmtId="3" fontId="12" fillId="0" borderId="5" xfId="3" applyNumberFormat="1" applyFont="1" applyAlignment="1">
      <alignment vertical="center" wrapText="1"/>
    </xf>
    <xf numFmtId="0" fontId="6" fillId="0" borderId="5" xfId="3" applyFont="1" applyAlignment="1">
      <alignment horizontal="center"/>
    </xf>
    <xf numFmtId="0" fontId="30" fillId="0" borderId="12" xfId="3" applyBorder="1" applyAlignment="1">
      <alignment horizontal="center" vertical="center"/>
    </xf>
    <xf numFmtId="0" fontId="39" fillId="0" borderId="22" xfId="3" applyFont="1" applyBorder="1" applyAlignment="1">
      <alignment vertical="center" wrapText="1"/>
    </xf>
    <xf numFmtId="0" fontId="30" fillId="8" borderId="5" xfId="3" applyFill="1"/>
    <xf numFmtId="0" fontId="21" fillId="0" borderId="5" xfId="3" applyFont="1" applyAlignment="1">
      <alignment vertical="center" wrapText="1"/>
    </xf>
    <xf numFmtId="3" fontId="30" fillId="0" borderId="5" xfId="3" applyNumberFormat="1" applyAlignment="1">
      <alignment horizontal="center" vertical="center" wrapText="1"/>
    </xf>
    <xf numFmtId="0" fontId="3" fillId="0" borderId="5" xfId="3" applyFont="1" applyAlignment="1">
      <alignment horizontal="left" vertical="center" wrapText="1" indent="1"/>
    </xf>
    <xf numFmtId="0" fontId="3" fillId="0" borderId="34" xfId="3" applyFont="1" applyBorder="1" applyAlignment="1">
      <alignment vertical="center" wrapText="1"/>
    </xf>
    <xf numFmtId="0" fontId="5" fillId="0" borderId="30" xfId="3" applyFont="1" applyBorder="1" applyAlignment="1">
      <alignment vertical="center" wrapText="1"/>
    </xf>
    <xf numFmtId="0" fontId="21" fillId="0" borderId="30" xfId="3" applyFont="1" applyBorder="1" applyAlignment="1">
      <alignment vertical="center" wrapText="1"/>
    </xf>
    <xf numFmtId="0" fontId="30" fillId="0" borderId="30" xfId="3" applyBorder="1"/>
    <xf numFmtId="0" fontId="3" fillId="0" borderId="5" xfId="3" applyFont="1" applyAlignment="1">
      <alignment horizontal="right"/>
    </xf>
    <xf numFmtId="0" fontId="30" fillId="0" borderId="30" xfId="3" applyBorder="1" applyAlignment="1">
      <alignment wrapText="1"/>
    </xf>
    <xf numFmtId="0" fontId="30" fillId="0" borderId="32" xfId="3" applyBorder="1" applyAlignment="1">
      <alignment wrapText="1"/>
    </xf>
    <xf numFmtId="0" fontId="30" fillId="0" borderId="34" xfId="3" applyBorder="1" applyAlignment="1">
      <alignment wrapText="1"/>
    </xf>
    <xf numFmtId="3" fontId="39" fillId="0" borderId="35" xfId="3" applyNumberFormat="1" applyFont="1" applyBorder="1" applyAlignment="1">
      <alignment vertical="center" wrapText="1"/>
    </xf>
    <xf numFmtId="0" fontId="30" fillId="0" borderId="31" xfId="3" applyBorder="1" applyAlignment="1">
      <alignment wrapText="1"/>
    </xf>
    <xf numFmtId="0" fontId="47" fillId="0" borderId="5" xfId="3" applyFont="1" applyAlignment="1">
      <alignment wrapText="1"/>
    </xf>
    <xf numFmtId="0" fontId="48" fillId="0" borderId="5" xfId="3" applyFont="1" applyAlignment="1">
      <alignment vertical="center" wrapText="1"/>
    </xf>
    <xf numFmtId="0" fontId="21" fillId="0" borderId="34" xfId="3" applyFont="1" applyBorder="1" applyAlignment="1">
      <alignment vertical="center" wrapText="1"/>
    </xf>
    <xf numFmtId="3" fontId="12" fillId="0" borderId="35" xfId="3" applyNumberFormat="1" applyFont="1" applyBorder="1" applyAlignment="1">
      <alignment vertical="center" wrapText="1"/>
    </xf>
    <xf numFmtId="0" fontId="46" fillId="10" borderId="5" xfId="3" applyFont="1" applyFill="1"/>
    <xf numFmtId="0" fontId="46" fillId="0" borderId="5" xfId="3" applyFont="1"/>
    <xf numFmtId="0" fontId="3" fillId="0" borderId="30" xfId="3" applyFont="1" applyBorder="1"/>
    <xf numFmtId="0" fontId="42" fillId="8" borderId="30" xfId="3" applyFont="1" applyFill="1" applyBorder="1" applyAlignment="1">
      <alignment horizontal="justify" vertical="center"/>
    </xf>
    <xf numFmtId="3" fontId="39" fillId="0" borderId="22" xfId="3" applyNumberFormat="1" applyFont="1" applyBorder="1" applyAlignment="1">
      <alignment vertical="center" wrapText="1"/>
    </xf>
    <xf numFmtId="15" fontId="30" fillId="0" borderId="5" xfId="3" applyNumberFormat="1"/>
    <xf numFmtId="0" fontId="42" fillId="8" borderId="32" xfId="3" applyFont="1" applyFill="1" applyBorder="1" applyAlignment="1">
      <alignment horizontal="justify" vertical="center"/>
    </xf>
    <xf numFmtId="0" fontId="42" fillId="8" borderId="34" xfId="3" applyFont="1" applyFill="1" applyBorder="1" applyAlignment="1">
      <alignment horizontal="justify" vertical="center"/>
    </xf>
    <xf numFmtId="0" fontId="3" fillId="0" borderId="30" xfId="3" applyFont="1" applyBorder="1" applyAlignment="1">
      <alignment wrapText="1"/>
    </xf>
    <xf numFmtId="3" fontId="12" fillId="0" borderId="22" xfId="3" applyNumberFormat="1" applyFont="1" applyBorder="1" applyAlignment="1">
      <alignment vertical="center" wrapText="1"/>
    </xf>
    <xf numFmtId="0" fontId="39" fillId="0" borderId="30" xfId="3" applyFont="1" applyBorder="1" applyAlignment="1">
      <alignment vertical="center" wrapText="1"/>
    </xf>
    <xf numFmtId="0" fontId="30" fillId="0" borderId="32" xfId="3" applyBorder="1"/>
    <xf numFmtId="0" fontId="30" fillId="0" borderId="35" xfId="3" applyBorder="1"/>
    <xf numFmtId="0" fontId="3" fillId="0" borderId="35" xfId="3" applyFont="1" applyBorder="1" applyAlignment="1">
      <alignment horizontal="left" vertical="center" wrapText="1" indent="1"/>
    </xf>
    <xf numFmtId="3" fontId="3" fillId="0" borderId="22" xfId="3" applyNumberFormat="1" applyFont="1" applyBorder="1" applyAlignment="1">
      <alignment horizontal="center" vertical="center" wrapText="1"/>
    </xf>
    <xf numFmtId="0" fontId="5" fillId="0" borderId="35" xfId="3" applyFont="1" applyBorder="1" applyAlignment="1">
      <alignment vertical="center" wrapText="1"/>
    </xf>
    <xf numFmtId="0" fontId="30" fillId="0" borderId="22" xfId="3" applyBorder="1"/>
    <xf numFmtId="0" fontId="3" fillId="0" borderId="5" xfId="3" applyFont="1" applyAlignment="1">
      <alignment horizontal="center" vertical="center" wrapText="1"/>
    </xf>
    <xf numFmtId="0" fontId="21" fillId="0" borderId="35" xfId="3" applyFont="1" applyBorder="1" applyAlignment="1">
      <alignment vertical="center" wrapText="1"/>
    </xf>
    <xf numFmtId="0" fontId="3" fillId="0" borderId="36" xfId="3" applyFont="1" applyBorder="1"/>
    <xf numFmtId="0" fontId="49" fillId="0" borderId="5" xfId="3" applyFont="1" applyAlignment="1">
      <alignment vertical="center" wrapText="1"/>
    </xf>
    <xf numFmtId="0" fontId="30" fillId="0" borderId="37" xfId="3" applyBorder="1"/>
    <xf numFmtId="0" fontId="21" fillId="0" borderId="37" xfId="3" applyFont="1" applyBorder="1" applyAlignment="1">
      <alignment vertical="center" wrapText="1"/>
    </xf>
    <xf numFmtId="0" fontId="5" fillId="0" borderId="24" xfId="3" applyFont="1" applyBorder="1" applyAlignment="1">
      <alignment vertical="center" wrapText="1"/>
    </xf>
    <xf numFmtId="0" fontId="30" fillId="8" borderId="22" xfId="3" applyFill="1" applyBorder="1"/>
    <xf numFmtId="0" fontId="5" fillId="0" borderId="22" xfId="3" applyFont="1" applyBorder="1" applyAlignment="1">
      <alignment vertical="center" wrapText="1"/>
    </xf>
    <xf numFmtId="0" fontId="30" fillId="0" borderId="10" xfId="3" applyBorder="1"/>
    <xf numFmtId="0" fontId="21" fillId="0" borderId="23" xfId="3" applyFont="1" applyBorder="1" applyAlignment="1">
      <alignment vertical="center" wrapText="1"/>
    </xf>
    <xf numFmtId="3" fontId="50" fillId="0" borderId="5" xfId="3" applyNumberFormat="1" applyFont="1" applyAlignment="1">
      <alignment vertical="center" wrapText="1"/>
    </xf>
    <xf numFmtId="0" fontId="30" fillId="0" borderId="11" xfId="3" applyBorder="1"/>
    <xf numFmtId="0" fontId="30" fillId="8" borderId="23" xfId="3" applyFill="1" applyBorder="1"/>
    <xf numFmtId="0" fontId="30" fillId="8" borderId="39" xfId="3" applyFill="1" applyBorder="1"/>
    <xf numFmtId="0" fontId="30" fillId="0" borderId="40" xfId="3" applyBorder="1"/>
    <xf numFmtId="3" fontId="39" fillId="0" borderId="23" xfId="3" applyNumberFormat="1" applyFont="1" applyBorder="1" applyAlignment="1">
      <alignment vertical="center" wrapText="1"/>
    </xf>
    <xf numFmtId="0" fontId="42" fillId="0" borderId="24" xfId="3" applyFont="1" applyBorder="1" applyAlignment="1">
      <alignment horizontal="justify" vertical="center"/>
    </xf>
    <xf numFmtId="0" fontId="42" fillId="0" borderId="39" xfId="3" applyFont="1" applyBorder="1" applyAlignment="1">
      <alignment horizontal="justify" vertical="center"/>
    </xf>
    <xf numFmtId="0" fontId="21" fillId="0" borderId="39" xfId="3" applyFont="1" applyBorder="1" applyAlignment="1">
      <alignment vertical="center" wrapText="1"/>
    </xf>
    <xf numFmtId="0" fontId="30" fillId="0" borderId="39" xfId="3" applyBorder="1"/>
    <xf numFmtId="0" fontId="39" fillId="0" borderId="38" xfId="3" applyFont="1" applyBorder="1" applyAlignment="1">
      <alignment vertical="center" wrapText="1"/>
    </xf>
    <xf numFmtId="3" fontId="39" fillId="0" borderId="38" xfId="3" applyNumberFormat="1" applyFont="1" applyBorder="1" applyAlignment="1">
      <alignment vertical="center" wrapText="1"/>
    </xf>
    <xf numFmtId="3" fontId="50" fillId="0" borderId="23" xfId="3" applyNumberFormat="1" applyFont="1" applyBorder="1" applyAlignment="1">
      <alignment vertical="center" wrapText="1"/>
    </xf>
    <xf numFmtId="0" fontId="6" fillId="0" borderId="5" xfId="3" applyFont="1" applyAlignment="1">
      <alignment horizontal="left"/>
    </xf>
    <xf numFmtId="0" fontId="21" fillId="0" borderId="22" xfId="3" applyFont="1" applyBorder="1" applyAlignment="1">
      <alignment vertical="center" wrapText="1"/>
    </xf>
    <xf numFmtId="3" fontId="39" fillId="0" borderId="11" xfId="3" applyNumberFormat="1" applyFont="1" applyBorder="1" applyAlignment="1">
      <alignment vertical="center" wrapText="1"/>
    </xf>
    <xf numFmtId="3" fontId="50" fillId="0" borderId="22" xfId="3" applyNumberFormat="1" applyFont="1" applyBorder="1" applyAlignment="1">
      <alignment vertical="center" wrapText="1"/>
    </xf>
    <xf numFmtId="0" fontId="8" fillId="0" borderId="0" xfId="0" applyFont="1" applyBorder="1" applyAlignment="1">
      <alignment horizontal="left" vertical="center" wrapText="1"/>
    </xf>
    <xf numFmtId="0" fontId="28" fillId="0" borderId="22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164" fontId="6" fillId="0" borderId="0" xfId="0" applyNumberFormat="1" applyFont="1" applyBorder="1" applyAlignment="1">
      <alignment horizontal="center" vertical="center"/>
    </xf>
    <xf numFmtId="43" fontId="6" fillId="0" borderId="0" xfId="0" applyNumberFormat="1" applyFont="1" applyBorder="1" applyAlignment="1">
      <alignment horizontal="center" vertical="center"/>
    </xf>
    <xf numFmtId="164" fontId="30" fillId="0" borderId="5" xfId="2" applyNumberFormat="1"/>
    <xf numFmtId="0" fontId="6" fillId="0" borderId="26" xfId="0" applyFont="1" applyBorder="1" applyAlignment="1">
      <alignment horizontal="left" vertical="center"/>
    </xf>
    <xf numFmtId="0" fontId="35" fillId="0" borderId="5" xfId="3" applyFont="1" applyAlignment="1">
      <alignment horizontal="center" vertical="center"/>
    </xf>
    <xf numFmtId="3" fontId="39" fillId="0" borderId="5" xfId="3" applyNumberFormat="1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vertical="center" wrapText="1"/>
    </xf>
    <xf numFmtId="0" fontId="6" fillId="0" borderId="20" xfId="0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center" vertical="center"/>
    </xf>
    <xf numFmtId="17" fontId="6" fillId="0" borderId="5" xfId="0" applyNumberFormat="1" applyFont="1" applyAlignment="1">
      <alignment horizontal="center"/>
    </xf>
    <xf numFmtId="0" fontId="9" fillId="0" borderId="5" xfId="0" applyFont="1" applyAlignment="1">
      <alignment horizontal="center"/>
    </xf>
    <xf numFmtId="0" fontId="0" fillId="4" borderId="0" xfId="0" applyFill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26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justify" vertical="center" wrapText="1"/>
    </xf>
    <xf numFmtId="0" fontId="0" fillId="0" borderId="23" xfId="0" applyBorder="1" applyAlignment="1">
      <alignment wrapText="1"/>
    </xf>
    <xf numFmtId="0" fontId="6" fillId="0" borderId="16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6" fillId="0" borderId="16" xfId="0" applyFont="1" applyBorder="1" applyAlignment="1">
      <alignment horizontal="left" wrapText="1"/>
    </xf>
    <xf numFmtId="0" fontId="6" fillId="0" borderId="12" xfId="0" applyFont="1" applyBorder="1" applyAlignment="1">
      <alignment horizontal="left" vertical="center"/>
    </xf>
    <xf numFmtId="0" fontId="28" fillId="0" borderId="5" xfId="0" applyFont="1" applyAlignment="1">
      <alignment vertical="center" wrapText="1"/>
    </xf>
    <xf numFmtId="0" fontId="6" fillId="0" borderId="16" xfId="0" applyFont="1" applyBorder="1" applyAlignment="1">
      <alignment horizontal="left" vertical="center"/>
    </xf>
    <xf numFmtId="0" fontId="24" fillId="0" borderId="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21" fillId="0" borderId="1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6" fillId="8" borderId="16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/>
    <xf numFmtId="3" fontId="6" fillId="0" borderId="19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 wrapText="1"/>
    </xf>
    <xf numFmtId="3" fontId="3" fillId="8" borderId="19" xfId="0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3" fillId="0" borderId="12" xfId="0" applyNumberFormat="1" applyFont="1" applyBorder="1" applyAlignment="1">
      <alignment horizontal="center" vertical="center" wrapText="1"/>
    </xf>
    <xf numFmtId="3" fontId="3" fillId="8" borderId="11" xfId="0" applyNumberFormat="1" applyFont="1" applyFill="1" applyBorder="1" applyAlignment="1">
      <alignment horizontal="center" vertical="center" wrapText="1"/>
    </xf>
    <xf numFmtId="3" fontId="12" fillId="0" borderId="12" xfId="0" applyNumberFormat="1" applyFont="1" applyBorder="1" applyAlignment="1">
      <alignment vertical="center" wrapText="1"/>
    </xf>
    <xf numFmtId="3" fontId="12" fillId="0" borderId="18" xfId="0" applyNumberFormat="1" applyFont="1" applyBorder="1" applyAlignment="1">
      <alignment vertical="center" wrapText="1"/>
    </xf>
    <xf numFmtId="3" fontId="12" fillId="0" borderId="2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3" fontId="28" fillId="0" borderId="5" xfId="0" applyNumberFormat="1" applyFont="1" applyAlignment="1">
      <alignment vertical="center" wrapText="1"/>
    </xf>
    <xf numFmtId="3" fontId="0" fillId="0" borderId="10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vertical="center" wrapText="1"/>
    </xf>
    <xf numFmtId="3" fontId="12" fillId="0" borderId="19" xfId="0" applyNumberFormat="1" applyFont="1" applyBorder="1" applyAlignment="1">
      <alignment vertical="center" wrapText="1"/>
    </xf>
    <xf numFmtId="0" fontId="6" fillId="0" borderId="22" xfId="0" applyFont="1" applyBorder="1" applyAlignment="1">
      <alignment horizontal="center"/>
    </xf>
    <xf numFmtId="3" fontId="12" fillId="0" borderId="10" xfId="0" applyNumberFormat="1" applyFont="1" applyBorder="1" applyAlignment="1">
      <alignment horizontal="center" vertical="center" wrapText="1"/>
    </xf>
    <xf numFmtId="3" fontId="11" fillId="8" borderId="5" xfId="0" applyNumberFormat="1" applyFont="1" applyFill="1" applyAlignment="1">
      <alignment horizontal="center" vertical="center" wrapText="1"/>
    </xf>
    <xf numFmtId="9" fontId="3" fillId="0" borderId="1" xfId="0" applyNumberFormat="1" applyFont="1" applyBorder="1" applyAlignment="1">
      <alignment vertical="center" wrapText="1"/>
    </xf>
    <xf numFmtId="0" fontId="6" fillId="8" borderId="1" xfId="0" applyFont="1" applyFill="1" applyBorder="1" applyAlignment="1">
      <alignment horizontal="center"/>
    </xf>
    <xf numFmtId="164" fontId="6" fillId="0" borderId="1" xfId="2" applyNumberFormat="1" applyFont="1" applyBorder="1" applyAlignment="1">
      <alignment horizontal="center" vertical="center"/>
    </xf>
    <xf numFmtId="164" fontId="6" fillId="0" borderId="6" xfId="2" applyNumberFormat="1" applyFont="1" applyBorder="1" applyAlignment="1">
      <alignment horizontal="center" vertical="center"/>
    </xf>
    <xf numFmtId="164" fontId="6" fillId="0" borderId="5" xfId="2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6" fillId="0" borderId="7" xfId="4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 indent="1"/>
    </xf>
    <xf numFmtId="0" fontId="28" fillId="0" borderId="23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/>
    </xf>
    <xf numFmtId="0" fontId="5" fillId="0" borderId="5" xfId="0" applyFont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5" fillId="0" borderId="5" xfId="0" applyFont="1" applyAlignment="1">
      <alignment horizontal="left" vertical="center" wrapText="1" indent="1"/>
    </xf>
    <xf numFmtId="0" fontId="8" fillId="0" borderId="22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 indent="1"/>
    </xf>
    <xf numFmtId="3" fontId="3" fillId="0" borderId="0" xfId="0" applyNumberFormat="1" applyFont="1" applyBorder="1" applyAlignment="1">
      <alignment vertical="center" wrapText="1"/>
    </xf>
    <xf numFmtId="3" fontId="28" fillId="0" borderId="11" xfId="0" applyNumberFormat="1" applyFont="1" applyBorder="1" applyAlignment="1">
      <alignment vertical="center" wrapText="1"/>
    </xf>
    <xf numFmtId="3" fontId="6" fillId="0" borderId="22" xfId="0" applyNumberFormat="1" applyFont="1" applyBorder="1" applyAlignment="1">
      <alignment vertical="center" wrapText="1"/>
    </xf>
    <xf numFmtId="3" fontId="22" fillId="0" borderId="10" xfId="0" applyNumberFormat="1" applyFont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vertical="center" wrapText="1"/>
    </xf>
    <xf numFmtId="0" fontId="30" fillId="0" borderId="5" xfId="3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4" fillId="0" borderId="22" xfId="0" applyFont="1" applyBorder="1"/>
    <xf numFmtId="3" fontId="6" fillId="0" borderId="12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18" fillId="0" borderId="5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27" fillId="0" borderId="1" xfId="0" applyFont="1" applyBorder="1"/>
    <xf numFmtId="0" fontId="19" fillId="0" borderId="0" xfId="0" applyFont="1" applyBorder="1"/>
    <xf numFmtId="0" fontId="32" fillId="0" borderId="1" xfId="0" applyFont="1" applyBorder="1" applyAlignment="1">
      <alignment vertical="center" wrapText="1"/>
    </xf>
    <xf numFmtId="0" fontId="10" fillId="0" borderId="19" xfId="0" applyFont="1" applyBorder="1" applyAlignment="1">
      <alignment horizontal="left" vertical="center" wrapText="1"/>
    </xf>
    <xf numFmtId="0" fontId="19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32" fillId="0" borderId="33" xfId="0" applyFont="1" applyBorder="1" applyAlignment="1">
      <alignment horizontal="left" vertical="center" wrapText="1"/>
    </xf>
    <xf numFmtId="0" fontId="34" fillId="0" borderId="26" xfId="0" applyFont="1" applyBorder="1" applyAlignment="1">
      <alignment horizontal="justify" vertical="center" wrapText="1"/>
    </xf>
    <xf numFmtId="0" fontId="33" fillId="0" borderId="0" xfId="0" applyFont="1" applyBorder="1" applyAlignment="1">
      <alignment vertical="center" wrapText="1"/>
    </xf>
    <xf numFmtId="0" fontId="20" fillId="0" borderId="0" xfId="0" applyFont="1" applyBorder="1"/>
    <xf numFmtId="0" fontId="6" fillId="0" borderId="1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4" fillId="0" borderId="12" xfId="0" applyFont="1" applyBorder="1"/>
    <xf numFmtId="0" fontId="6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 wrapText="1"/>
    </xf>
    <xf numFmtId="3" fontId="33" fillId="0" borderId="1" xfId="0" applyNumberFormat="1" applyFont="1" applyBorder="1" applyAlignment="1">
      <alignment vertical="center" wrapText="1"/>
    </xf>
    <xf numFmtId="3" fontId="28" fillId="0" borderId="10" xfId="0" applyNumberFormat="1" applyFont="1" applyBorder="1" applyAlignment="1">
      <alignment vertical="center" wrapText="1"/>
    </xf>
    <xf numFmtId="3" fontId="19" fillId="0" borderId="0" xfId="0" applyNumberFormat="1" applyFont="1" applyBorder="1" applyAlignment="1">
      <alignment vertical="center" wrapText="1"/>
    </xf>
    <xf numFmtId="3" fontId="28" fillId="0" borderId="0" xfId="0" applyNumberFormat="1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/>
    </xf>
    <xf numFmtId="3" fontId="6" fillId="0" borderId="11" xfId="0" applyNumberFormat="1" applyFont="1" applyBorder="1" applyAlignment="1">
      <alignment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33" fillId="0" borderId="0" xfId="0" applyNumberFormat="1" applyFont="1" applyBorder="1" applyAlignment="1">
      <alignment vertical="center" wrapText="1"/>
    </xf>
    <xf numFmtId="0" fontId="6" fillId="0" borderId="27" xfId="0" applyFont="1" applyBorder="1" applyAlignment="1">
      <alignment horizontal="center" vertical="center"/>
    </xf>
    <xf numFmtId="3" fontId="22" fillId="0" borderId="11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30" fillId="0" borderId="0" xfId="3" applyBorder="1"/>
    <xf numFmtId="0" fontId="21" fillId="0" borderId="38" xfId="3" applyFont="1" applyBorder="1" applyAlignment="1">
      <alignment vertical="center" wrapText="1"/>
    </xf>
    <xf numFmtId="164" fontId="30" fillId="0" borderId="11" xfId="2" applyNumberFormat="1" applyBorder="1"/>
    <xf numFmtId="164" fontId="30" fillId="0" borderId="22" xfId="2" applyNumberFormat="1" applyBorder="1"/>
    <xf numFmtId="3" fontId="12" fillId="0" borderId="38" xfId="3" applyNumberFormat="1" applyFont="1" applyBorder="1" applyAlignment="1">
      <alignment vertical="center" wrapText="1"/>
    </xf>
    <xf numFmtId="0" fontId="51" fillId="0" borderId="0" xfId="0" applyFont="1" applyBorder="1"/>
    <xf numFmtId="43" fontId="30" fillId="0" borderId="5" xfId="3" applyNumberFormat="1"/>
    <xf numFmtId="165" fontId="30" fillId="0" borderId="5" xfId="3" applyNumberFormat="1"/>
    <xf numFmtId="0" fontId="0" fillId="0" borderId="5" xfId="0"/>
    <xf numFmtId="0" fontId="30" fillId="0" borderId="0" xfId="3" applyBorder="1" applyAlignment="1">
      <alignment wrapText="1"/>
    </xf>
    <xf numFmtId="3" fontId="52" fillId="2" borderId="3" xfId="0" applyNumberFormat="1" applyFont="1" applyFill="1" applyBorder="1" applyAlignment="1">
      <alignment horizontal="center" vertical="center" wrapText="1"/>
    </xf>
    <xf numFmtId="3" fontId="53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5" xfId="0" applyFont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3" fontId="54" fillId="0" borderId="0" xfId="0" applyNumberFormat="1" applyFont="1" applyBorder="1" applyAlignment="1">
      <alignment horizontal="center" vertical="center" wrapText="1"/>
    </xf>
    <xf numFmtId="3" fontId="53" fillId="0" borderId="0" xfId="0" applyNumberFormat="1" applyFont="1" applyBorder="1" applyAlignment="1">
      <alignment horizontal="center" vertical="center" wrapText="1"/>
    </xf>
    <xf numFmtId="17" fontId="53" fillId="0" borderId="0" xfId="0" applyNumberFormat="1" applyFont="1" applyBorder="1" applyAlignment="1">
      <alignment horizontal="center" vertical="center"/>
    </xf>
    <xf numFmtId="0" fontId="53" fillId="0" borderId="0" xfId="0" applyFont="1" applyBorder="1" applyAlignment="1">
      <alignment horizontal="center"/>
    </xf>
    <xf numFmtId="0" fontId="53" fillId="0" borderId="15" xfId="0" applyFont="1" applyBorder="1" applyAlignment="1">
      <alignment horizontal="center" vertical="center"/>
    </xf>
    <xf numFmtId="3" fontId="53" fillId="0" borderId="15" xfId="0" applyNumberFormat="1" applyFont="1" applyBorder="1" applyAlignment="1">
      <alignment horizontal="center" vertical="center" wrapText="1"/>
    </xf>
    <xf numFmtId="17" fontId="53" fillId="0" borderId="0" xfId="0" applyNumberFormat="1" applyFont="1" applyBorder="1" applyAlignment="1">
      <alignment horizontal="center"/>
    </xf>
    <xf numFmtId="0" fontId="53" fillId="0" borderId="23" xfId="0" applyFont="1" applyBorder="1" applyAlignment="1">
      <alignment horizontal="center" vertical="center"/>
    </xf>
    <xf numFmtId="0" fontId="12" fillId="0" borderId="0" xfId="0" applyFont="1" applyBorder="1"/>
    <xf numFmtId="0" fontId="0" fillId="0" borderId="22" xfId="0" applyBorder="1"/>
    <xf numFmtId="164" fontId="30" fillId="0" borderId="23" xfId="2" applyNumberFormat="1" applyBorder="1"/>
    <xf numFmtId="0" fontId="3" fillId="0" borderId="0" xfId="3" applyFont="1" applyBorder="1"/>
    <xf numFmtId="0" fontId="32" fillId="0" borderId="0" xfId="0" applyFont="1" applyBorder="1" applyAlignment="1">
      <alignment vertical="center" wrapText="1"/>
    </xf>
    <xf numFmtId="0" fontId="34" fillId="0" borderId="23" xfId="0" applyFont="1" applyBorder="1" applyAlignment="1">
      <alignment horizontal="justify" vertical="center" wrapText="1"/>
    </xf>
    <xf numFmtId="3" fontId="6" fillId="0" borderId="11" xfId="0" applyNumberFormat="1" applyFont="1" applyBorder="1" applyAlignment="1">
      <alignment horizontal="center" vertical="center"/>
    </xf>
    <xf numFmtId="0" fontId="30" fillId="0" borderId="5" xfId="3" applyAlignment="1">
      <alignment horizontal="center"/>
    </xf>
    <xf numFmtId="0" fontId="30" fillId="0" borderId="5" xfId="3"/>
  </cellXfs>
  <cellStyles count="5">
    <cellStyle name="Comma" xfId="2" builtinId="3"/>
    <cellStyle name="Normal" xfId="0" builtinId="0"/>
    <cellStyle name="Normal 2" xfId="1" xr:uid="{00000000-0005-0000-0000-000001000000}"/>
    <cellStyle name="Normal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204249</xdr:colOff>
      <xdr:row>327</xdr:row>
      <xdr:rowOff>382561</xdr:rowOff>
    </xdr:from>
    <xdr:to>
      <xdr:col>27</xdr:col>
      <xdr:colOff>595791</xdr:colOff>
      <xdr:row>372</xdr:row>
      <xdr:rowOff>184645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6155" y="10149590"/>
          <a:ext cx="5349224" cy="1090761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3"/>
  <sheetViews>
    <sheetView zoomScale="91" zoomScaleNormal="175" workbookViewId="0">
      <selection sqref="A1:XFD1048576"/>
    </sheetView>
  </sheetViews>
  <sheetFormatPr defaultColWidth="14.3984375" defaultRowHeight="14.25"/>
  <cols>
    <col min="1" max="1" width="26.3984375" style="166" customWidth="1"/>
    <col min="2" max="2" width="4.86328125" style="166" hidden="1" customWidth="1"/>
    <col min="3" max="3" width="28.59765625" style="172" customWidth="1"/>
    <col min="4" max="4" width="11.3984375" style="168" hidden="1" customWidth="1"/>
    <col min="5" max="5" width="7.86328125" style="497" customWidth="1"/>
    <col min="6" max="6" width="2.1328125" style="166" customWidth="1"/>
    <col min="7" max="7" width="9.59765625" style="166" bestFit="1" customWidth="1"/>
    <col min="8" max="8" width="43.1328125" style="172" customWidth="1"/>
    <col min="9" max="9" width="14" style="168" customWidth="1"/>
    <col min="10" max="10" width="9.265625" style="166" customWidth="1"/>
    <col min="11" max="11" width="8.59765625" style="52" hidden="1" customWidth="1"/>
    <col min="12" max="12" width="3.73046875" style="52" hidden="1" customWidth="1"/>
    <col min="13" max="13" width="3.265625" style="52" hidden="1" customWidth="1"/>
    <col min="14" max="14" width="13.1328125" style="52" hidden="1" customWidth="1"/>
    <col min="15" max="15" width="16.265625" style="166" customWidth="1"/>
    <col min="16" max="16" width="9.265625" style="166" hidden="1" customWidth="1"/>
    <col min="17" max="17" width="9.265625" style="166" customWidth="1"/>
    <col min="18" max="18" width="11.3984375" style="241" customWidth="1"/>
    <col min="19" max="19" width="21.265625" style="241" customWidth="1"/>
    <col min="20" max="20" width="21.86328125" style="166" bestFit="1" customWidth="1"/>
    <col min="21" max="21" width="11.3984375" style="166" customWidth="1"/>
    <col min="22" max="22" width="12.3984375" style="166" customWidth="1"/>
    <col min="23" max="23" width="10.265625" style="166" bestFit="1" customWidth="1"/>
    <col min="24" max="24" width="8.59765625" style="166" customWidth="1"/>
    <col min="25" max="31" width="14.3984375" style="52" customWidth="1"/>
    <col min="32" max="16384" width="14.3984375" style="52"/>
  </cols>
  <sheetData>
    <row r="1" spans="1:23" ht="44.25" customHeight="1" thickBot="1">
      <c r="A1" s="166" t="s">
        <v>1204</v>
      </c>
      <c r="B1" s="39" t="s">
        <v>1205</v>
      </c>
      <c r="C1" s="170" t="s">
        <v>1206</v>
      </c>
      <c r="D1" s="41" t="s">
        <v>1207</v>
      </c>
      <c r="E1" s="493" t="s">
        <v>1208</v>
      </c>
      <c r="F1" s="40"/>
      <c r="G1" s="40" t="s">
        <v>1209</v>
      </c>
      <c r="H1" s="170" t="s">
        <v>1210</v>
      </c>
      <c r="I1" s="41" t="s">
        <v>1211</v>
      </c>
      <c r="J1" s="41" t="s">
        <v>1212</v>
      </c>
      <c r="K1" s="41" t="s">
        <v>8</v>
      </c>
      <c r="L1" s="40" t="s">
        <v>9</v>
      </c>
      <c r="M1" s="40" t="s">
        <v>13</v>
      </c>
      <c r="N1" s="41" t="s">
        <v>14</v>
      </c>
      <c r="O1" s="40" t="s">
        <v>1213</v>
      </c>
      <c r="P1" s="40" t="s">
        <v>15</v>
      </c>
      <c r="Q1" s="40" t="s">
        <v>16</v>
      </c>
      <c r="R1" s="239" t="s">
        <v>1214</v>
      </c>
      <c r="S1" s="239" t="s">
        <v>1215</v>
      </c>
      <c r="T1" s="40" t="s">
        <v>1216</v>
      </c>
      <c r="U1" s="40" t="s">
        <v>1217</v>
      </c>
      <c r="V1" s="42" t="s">
        <v>1218</v>
      </c>
    </row>
    <row r="2" spans="1:23">
      <c r="B2" s="182"/>
      <c r="C2" s="183" t="s">
        <v>1219</v>
      </c>
      <c r="D2" s="374">
        <v>300000</v>
      </c>
      <c r="E2" s="182"/>
      <c r="F2" s="185"/>
      <c r="G2" s="182">
        <v>24003</v>
      </c>
      <c r="H2" s="183" t="s">
        <v>608</v>
      </c>
      <c r="I2" s="184">
        <v>24509</v>
      </c>
      <c r="J2" s="56"/>
      <c r="K2" s="43"/>
      <c r="L2" s="56"/>
      <c r="M2" s="56"/>
      <c r="N2" s="43"/>
      <c r="O2" s="185" t="s">
        <v>1220</v>
      </c>
      <c r="P2" s="182" t="s">
        <v>1145</v>
      </c>
      <c r="Q2" s="182" t="s">
        <v>973</v>
      </c>
      <c r="R2" s="421">
        <f>I2+J2-(I2*0.1)</f>
        <v>22058.1</v>
      </c>
      <c r="S2" s="182"/>
      <c r="T2" s="185"/>
      <c r="U2" s="185"/>
      <c r="V2" s="193"/>
    </row>
    <row r="3" spans="1:23">
      <c r="A3" s="36" t="s">
        <v>1221</v>
      </c>
      <c r="B3" s="4">
        <v>34</v>
      </c>
      <c r="C3" s="1" t="s">
        <v>1222</v>
      </c>
      <c r="D3" s="12">
        <v>875000</v>
      </c>
      <c r="E3" s="12"/>
      <c r="F3" s="1"/>
      <c r="G3" s="135">
        <v>100201</v>
      </c>
      <c r="H3" s="1" t="s">
        <v>608</v>
      </c>
      <c r="I3" s="9">
        <v>129891</v>
      </c>
      <c r="J3" s="9">
        <v>0</v>
      </c>
      <c r="K3" s="5">
        <v>0</v>
      </c>
      <c r="L3" s="7"/>
      <c r="M3" s="7"/>
      <c r="N3" s="5">
        <f t="shared" ref="N3:N23" si="0">I3+J3</f>
        <v>129891</v>
      </c>
      <c r="O3" s="7" t="s">
        <v>723</v>
      </c>
      <c r="P3" s="6"/>
      <c r="Q3" s="6" t="s">
        <v>628</v>
      </c>
      <c r="R3" s="5">
        <f>N3</f>
        <v>129891</v>
      </c>
      <c r="S3" s="9">
        <v>129891</v>
      </c>
      <c r="T3" s="7" t="s">
        <v>1223</v>
      </c>
      <c r="U3" s="7"/>
      <c r="V3" s="10"/>
    </row>
    <row r="4" spans="1:23">
      <c r="A4" s="36" t="s">
        <v>1221</v>
      </c>
      <c r="B4" s="4">
        <v>1</v>
      </c>
      <c r="C4" s="1" t="s">
        <v>1222</v>
      </c>
      <c r="D4" s="12">
        <v>875000</v>
      </c>
      <c r="E4" s="12"/>
      <c r="F4" s="1"/>
      <c r="G4" s="135">
        <v>100202</v>
      </c>
      <c r="H4" s="1" t="s">
        <v>274</v>
      </c>
      <c r="I4" s="9">
        <v>250000</v>
      </c>
      <c r="J4" s="9">
        <f t="shared" ref="J4:J23" si="1">I4*18%</f>
        <v>45000</v>
      </c>
      <c r="K4" s="5">
        <f t="shared" ref="K4:K23" si="2">I4*10%</f>
        <v>25000</v>
      </c>
      <c r="L4" s="7"/>
      <c r="M4" s="7"/>
      <c r="N4" s="5">
        <f t="shared" si="0"/>
        <v>295000</v>
      </c>
      <c r="O4" s="7" t="s">
        <v>723</v>
      </c>
      <c r="P4" s="6"/>
      <c r="Q4" s="6" t="s">
        <v>628</v>
      </c>
      <c r="R4" s="5">
        <f t="shared" ref="R4:R23" si="3">N4-K4</f>
        <v>270000</v>
      </c>
      <c r="S4" s="9">
        <v>265500</v>
      </c>
      <c r="T4" s="7" t="s">
        <v>1223</v>
      </c>
      <c r="U4" s="9"/>
      <c r="V4" s="10"/>
    </row>
    <row r="5" spans="1:23">
      <c r="A5" s="36" t="s">
        <v>1221</v>
      </c>
      <c r="B5" s="4">
        <v>2</v>
      </c>
      <c r="C5" s="1" t="s">
        <v>1222</v>
      </c>
      <c r="D5" s="12">
        <v>875000</v>
      </c>
      <c r="E5" s="12"/>
      <c r="F5" s="1"/>
      <c r="G5" s="135">
        <v>100205</v>
      </c>
      <c r="H5" s="1" t="s">
        <v>1225</v>
      </c>
      <c r="I5" s="9">
        <v>125000</v>
      </c>
      <c r="J5" s="9">
        <f t="shared" si="1"/>
        <v>22500</v>
      </c>
      <c r="K5" s="5">
        <f t="shared" si="2"/>
        <v>12500</v>
      </c>
      <c r="L5" s="7"/>
      <c r="M5" s="7"/>
      <c r="N5" s="5">
        <f t="shared" si="0"/>
        <v>147500</v>
      </c>
      <c r="O5" s="7" t="s">
        <v>1224</v>
      </c>
      <c r="P5" s="6"/>
      <c r="Q5" s="6" t="s">
        <v>701</v>
      </c>
      <c r="R5" s="5">
        <f t="shared" si="3"/>
        <v>135000</v>
      </c>
      <c r="S5" s="9">
        <v>405000</v>
      </c>
      <c r="T5" s="7" t="s">
        <v>1226</v>
      </c>
      <c r="U5" s="7"/>
      <c r="V5" s="10"/>
    </row>
    <row r="6" spans="1:23">
      <c r="A6" s="36" t="s">
        <v>1221</v>
      </c>
      <c r="B6" s="4">
        <v>3</v>
      </c>
      <c r="C6" s="1" t="s">
        <v>1222</v>
      </c>
      <c r="D6" s="12">
        <v>875000</v>
      </c>
      <c r="E6" s="12"/>
      <c r="F6" s="1"/>
      <c r="G6" s="135">
        <v>100205</v>
      </c>
      <c r="H6" s="1" t="s">
        <v>1227</v>
      </c>
      <c r="I6" s="9">
        <v>125000</v>
      </c>
      <c r="J6" s="9">
        <f t="shared" si="1"/>
        <v>22500</v>
      </c>
      <c r="K6" s="5">
        <f t="shared" si="2"/>
        <v>12500</v>
      </c>
      <c r="L6" s="7"/>
      <c r="M6" s="7"/>
      <c r="N6" s="5">
        <f t="shared" si="0"/>
        <v>147500</v>
      </c>
      <c r="O6" s="7" t="s">
        <v>1224</v>
      </c>
      <c r="P6" s="6"/>
      <c r="Q6" s="6" t="s">
        <v>701</v>
      </c>
      <c r="R6" s="5">
        <f t="shared" si="3"/>
        <v>135000</v>
      </c>
      <c r="S6" s="7">
        <v>276750</v>
      </c>
      <c r="T6" s="7" t="s">
        <v>1228</v>
      </c>
      <c r="U6" s="7"/>
      <c r="V6" s="10"/>
    </row>
    <row r="7" spans="1:23">
      <c r="A7" s="36" t="s">
        <v>1221</v>
      </c>
      <c r="B7" s="4">
        <v>4</v>
      </c>
      <c r="C7" s="1" t="s">
        <v>1222</v>
      </c>
      <c r="D7" s="12">
        <v>875000</v>
      </c>
      <c r="E7" s="12"/>
      <c r="F7" s="1"/>
      <c r="G7" s="135">
        <v>100205</v>
      </c>
      <c r="H7" s="1" t="s">
        <v>1229</v>
      </c>
      <c r="I7" s="9">
        <v>225000</v>
      </c>
      <c r="J7" s="9">
        <f t="shared" si="1"/>
        <v>40500</v>
      </c>
      <c r="K7" s="5">
        <f t="shared" si="2"/>
        <v>22500</v>
      </c>
      <c r="L7" s="7"/>
      <c r="M7" s="7"/>
      <c r="N7" s="5">
        <f t="shared" si="0"/>
        <v>265500</v>
      </c>
      <c r="O7" s="7" t="s">
        <v>1224</v>
      </c>
      <c r="P7" s="6"/>
      <c r="Q7" s="6" t="s">
        <v>701</v>
      </c>
      <c r="R7" s="5">
        <f t="shared" si="3"/>
        <v>243000</v>
      </c>
      <c r="S7" s="7" t="s">
        <v>1230</v>
      </c>
      <c r="T7" s="7" t="s">
        <v>1228</v>
      </c>
      <c r="U7" s="7"/>
      <c r="V7" s="10"/>
    </row>
    <row r="8" spans="1:23" ht="15.75" customHeight="1" thickBot="1">
      <c r="A8" s="36" t="s">
        <v>1221</v>
      </c>
      <c r="B8" s="4">
        <v>5</v>
      </c>
      <c r="C8" s="1" t="s">
        <v>1222</v>
      </c>
      <c r="D8" s="9">
        <v>875000</v>
      </c>
      <c r="E8" s="20"/>
      <c r="F8" s="22"/>
      <c r="G8" s="136">
        <v>100205</v>
      </c>
      <c r="H8" s="23" t="s">
        <v>1231</v>
      </c>
      <c r="I8" s="24">
        <v>80000</v>
      </c>
      <c r="J8" s="9">
        <f t="shared" si="1"/>
        <v>14400</v>
      </c>
      <c r="K8" s="9">
        <f t="shared" si="2"/>
        <v>8000</v>
      </c>
      <c r="L8" s="7"/>
      <c r="M8" s="7"/>
      <c r="N8" s="9">
        <f t="shared" si="0"/>
        <v>94400</v>
      </c>
      <c r="O8" s="7" t="s">
        <v>1224</v>
      </c>
      <c r="P8" s="6"/>
      <c r="Q8" s="6" t="s">
        <v>701</v>
      </c>
      <c r="R8" s="9">
        <f t="shared" si="3"/>
        <v>86400</v>
      </c>
      <c r="S8" s="7" t="s">
        <v>1230</v>
      </c>
      <c r="T8" s="7" t="s">
        <v>1228</v>
      </c>
      <c r="U8" s="7"/>
      <c r="V8" s="10"/>
    </row>
    <row r="9" spans="1:23">
      <c r="A9" s="36" t="s">
        <v>1221</v>
      </c>
      <c r="B9" s="4">
        <v>6</v>
      </c>
      <c r="C9" s="1" t="s">
        <v>1222</v>
      </c>
      <c r="D9" s="12">
        <v>875000</v>
      </c>
      <c r="E9" s="12"/>
      <c r="F9" s="1"/>
      <c r="G9" s="135">
        <v>100205</v>
      </c>
      <c r="H9" s="1" t="s">
        <v>1232</v>
      </c>
      <c r="I9" s="9">
        <v>35000</v>
      </c>
      <c r="J9" s="9">
        <f t="shared" si="1"/>
        <v>6300</v>
      </c>
      <c r="K9" s="5">
        <f t="shared" si="2"/>
        <v>3500</v>
      </c>
      <c r="L9" s="7"/>
      <c r="M9" s="7"/>
      <c r="N9" s="5">
        <f t="shared" si="0"/>
        <v>41300</v>
      </c>
      <c r="O9" s="7" t="s">
        <v>1224</v>
      </c>
      <c r="P9" s="6"/>
      <c r="Q9" s="6" t="s">
        <v>701</v>
      </c>
      <c r="R9" s="5">
        <f t="shared" si="3"/>
        <v>37800</v>
      </c>
      <c r="S9" s="7" t="s">
        <v>1230</v>
      </c>
      <c r="T9" s="7" t="s">
        <v>1228</v>
      </c>
      <c r="U9" s="7"/>
      <c r="V9" s="10"/>
    </row>
    <row r="10" spans="1:23">
      <c r="A10" s="36" t="s">
        <v>1221</v>
      </c>
      <c r="B10" s="4">
        <v>7</v>
      </c>
      <c r="C10" s="1" t="s">
        <v>1222</v>
      </c>
      <c r="D10" s="12">
        <v>875000</v>
      </c>
      <c r="E10" s="12"/>
      <c r="F10" s="1"/>
      <c r="G10" s="135">
        <v>100205</v>
      </c>
      <c r="H10" s="1" t="s">
        <v>1233</v>
      </c>
      <c r="I10" s="9">
        <v>35000</v>
      </c>
      <c r="J10" s="9">
        <f t="shared" si="1"/>
        <v>6300</v>
      </c>
      <c r="K10" s="5">
        <f t="shared" si="2"/>
        <v>3500</v>
      </c>
      <c r="L10" s="7"/>
      <c r="M10" s="7"/>
      <c r="N10" s="5">
        <f t="shared" si="0"/>
        <v>41300</v>
      </c>
      <c r="O10" s="7" t="s">
        <v>1224</v>
      </c>
      <c r="P10" s="6"/>
      <c r="Q10" s="6" t="s">
        <v>701</v>
      </c>
      <c r="R10" s="5">
        <f t="shared" si="3"/>
        <v>37800</v>
      </c>
      <c r="S10" s="7" t="s">
        <v>1230</v>
      </c>
      <c r="T10" s="7" t="s">
        <v>1228</v>
      </c>
      <c r="U10" s="7"/>
      <c r="V10" s="10"/>
    </row>
    <row r="11" spans="1:23">
      <c r="A11" s="36" t="s">
        <v>1221</v>
      </c>
      <c r="B11" s="4">
        <v>39</v>
      </c>
      <c r="C11" s="1" t="s">
        <v>1234</v>
      </c>
      <c r="D11" s="12">
        <v>500000</v>
      </c>
      <c r="E11" s="12"/>
      <c r="F11" s="1"/>
      <c r="G11" s="135">
        <v>100208</v>
      </c>
      <c r="H11" s="1" t="s">
        <v>1235</v>
      </c>
      <c r="I11" s="9">
        <v>100000</v>
      </c>
      <c r="J11" s="9">
        <f t="shared" si="1"/>
        <v>18000</v>
      </c>
      <c r="K11" s="5">
        <f t="shared" si="2"/>
        <v>10000</v>
      </c>
      <c r="L11" s="7"/>
      <c r="M11" s="7"/>
      <c r="N11" s="5">
        <f t="shared" si="0"/>
        <v>118000</v>
      </c>
      <c r="O11" s="7" t="s">
        <v>702</v>
      </c>
      <c r="P11" s="6"/>
      <c r="Q11" s="6" t="s">
        <v>701</v>
      </c>
      <c r="R11" s="5">
        <f t="shared" si="3"/>
        <v>108000</v>
      </c>
      <c r="S11" s="9">
        <f>R11</f>
        <v>108000</v>
      </c>
      <c r="T11" s="7" t="s">
        <v>1236</v>
      </c>
      <c r="U11" s="7"/>
      <c r="V11" s="10"/>
    </row>
    <row r="12" spans="1:23">
      <c r="A12" s="36" t="s">
        <v>1221</v>
      </c>
      <c r="B12" s="4">
        <v>40</v>
      </c>
      <c r="C12" s="1" t="s">
        <v>1234</v>
      </c>
      <c r="D12" s="12">
        <v>500000</v>
      </c>
      <c r="E12" s="12"/>
      <c r="F12" s="1"/>
      <c r="G12" s="135">
        <v>100208</v>
      </c>
      <c r="H12" s="1" t="s">
        <v>1237</v>
      </c>
      <c r="I12" s="9">
        <v>200000</v>
      </c>
      <c r="J12" s="9">
        <f t="shared" si="1"/>
        <v>36000</v>
      </c>
      <c r="K12" s="5">
        <f t="shared" si="2"/>
        <v>20000</v>
      </c>
      <c r="L12" s="7"/>
      <c r="M12" s="7"/>
      <c r="N12" s="5">
        <f t="shared" si="0"/>
        <v>236000</v>
      </c>
      <c r="O12" s="7" t="s">
        <v>702</v>
      </c>
      <c r="P12" s="6"/>
      <c r="Q12" s="6" t="s">
        <v>701</v>
      </c>
      <c r="R12" s="5">
        <f t="shared" si="3"/>
        <v>216000</v>
      </c>
      <c r="S12" s="5">
        <f>R12</f>
        <v>216000</v>
      </c>
      <c r="T12" s="7" t="s">
        <v>1236</v>
      </c>
      <c r="U12" s="7"/>
      <c r="V12" s="10"/>
    </row>
    <row r="13" spans="1:23">
      <c r="A13" s="36" t="s">
        <v>1221</v>
      </c>
      <c r="B13" s="4">
        <v>41</v>
      </c>
      <c r="C13" s="1" t="s">
        <v>1234</v>
      </c>
      <c r="D13" s="12">
        <v>500000</v>
      </c>
      <c r="E13" s="12"/>
      <c r="F13" s="1"/>
      <c r="G13" s="135">
        <v>100209</v>
      </c>
      <c r="H13" s="1" t="s">
        <v>399</v>
      </c>
      <c r="I13" s="9">
        <v>100000</v>
      </c>
      <c r="J13" s="9">
        <f t="shared" si="1"/>
        <v>18000</v>
      </c>
      <c r="K13" s="5">
        <f t="shared" si="2"/>
        <v>10000</v>
      </c>
      <c r="L13" s="7"/>
      <c r="M13" s="7"/>
      <c r="N13" s="5">
        <f t="shared" si="0"/>
        <v>118000</v>
      </c>
      <c r="O13" s="7" t="s">
        <v>1238</v>
      </c>
      <c r="P13" s="6"/>
      <c r="Q13" s="6" t="s">
        <v>701</v>
      </c>
      <c r="R13" s="5">
        <f t="shared" si="3"/>
        <v>108000</v>
      </c>
      <c r="S13" s="5">
        <v>108000</v>
      </c>
      <c r="T13" s="14" t="s">
        <v>1239</v>
      </c>
      <c r="U13" s="7"/>
      <c r="V13" s="10"/>
    </row>
    <row r="14" spans="1:23">
      <c r="A14" s="36" t="s">
        <v>1221</v>
      </c>
      <c r="B14" s="4">
        <v>42</v>
      </c>
      <c r="C14" s="1" t="s">
        <v>1234</v>
      </c>
      <c r="D14" s="12">
        <v>500000</v>
      </c>
      <c r="E14" s="12"/>
      <c r="F14" s="1"/>
      <c r="G14" s="135">
        <v>100210</v>
      </c>
      <c r="H14" s="1" t="s">
        <v>1240</v>
      </c>
      <c r="I14" s="9">
        <v>100000</v>
      </c>
      <c r="J14" s="9">
        <f t="shared" si="1"/>
        <v>18000</v>
      </c>
      <c r="K14" s="5">
        <f t="shared" si="2"/>
        <v>10000</v>
      </c>
      <c r="L14" s="7"/>
      <c r="M14" s="7"/>
      <c r="N14" s="5">
        <f t="shared" si="0"/>
        <v>118000</v>
      </c>
      <c r="O14" s="7" t="s">
        <v>1238</v>
      </c>
      <c r="P14" s="6"/>
      <c r="Q14" s="6" t="s">
        <v>701</v>
      </c>
      <c r="R14" s="5">
        <f t="shared" si="3"/>
        <v>108000</v>
      </c>
      <c r="S14" s="9">
        <v>108000</v>
      </c>
      <c r="T14" s="7" t="s">
        <v>1241</v>
      </c>
      <c r="U14" s="7"/>
      <c r="V14" s="10"/>
      <c r="W14" s="8"/>
    </row>
    <row r="15" spans="1:23" ht="75" customHeight="1">
      <c r="A15" s="36" t="s">
        <v>1221</v>
      </c>
      <c r="B15" s="4">
        <v>59</v>
      </c>
      <c r="C15" s="1" t="s">
        <v>1243</v>
      </c>
      <c r="D15" s="26">
        <v>500000</v>
      </c>
      <c r="E15" s="13" t="s">
        <v>1244</v>
      </c>
      <c r="F15" s="1"/>
      <c r="G15" s="135">
        <v>100213</v>
      </c>
      <c r="H15" s="1" t="s">
        <v>1245</v>
      </c>
      <c r="I15" s="9">
        <v>200000</v>
      </c>
      <c r="J15" s="9">
        <f t="shared" si="1"/>
        <v>36000</v>
      </c>
      <c r="K15" s="5">
        <f t="shared" si="2"/>
        <v>20000</v>
      </c>
      <c r="L15" s="9"/>
      <c r="M15" s="9"/>
      <c r="N15" s="5">
        <f t="shared" si="0"/>
        <v>236000</v>
      </c>
      <c r="O15" s="7" t="s">
        <v>1242</v>
      </c>
      <c r="P15" s="6"/>
      <c r="Q15" s="6" t="s">
        <v>701</v>
      </c>
      <c r="R15" s="5">
        <f t="shared" si="3"/>
        <v>216000</v>
      </c>
      <c r="S15" s="9">
        <f t="shared" ref="S15:S21" si="4">R15</f>
        <v>216000</v>
      </c>
      <c r="T15" s="7" t="s">
        <v>1246</v>
      </c>
      <c r="U15" s="7"/>
      <c r="V15" s="10"/>
      <c r="W15" s="8"/>
    </row>
    <row r="16" spans="1:23" ht="75" customHeight="1">
      <c r="A16" s="36" t="s">
        <v>1221</v>
      </c>
      <c r="B16" s="4">
        <v>60</v>
      </c>
      <c r="C16" s="1" t="s">
        <v>1243</v>
      </c>
      <c r="D16" s="26">
        <v>500000</v>
      </c>
      <c r="E16" s="13" t="s">
        <v>1244</v>
      </c>
      <c r="F16" s="1"/>
      <c r="G16" s="135">
        <v>100213</v>
      </c>
      <c r="H16" s="1" t="s">
        <v>1247</v>
      </c>
      <c r="I16" s="9">
        <v>50000</v>
      </c>
      <c r="J16" s="9">
        <f t="shared" si="1"/>
        <v>9000</v>
      </c>
      <c r="K16" s="5">
        <f t="shared" si="2"/>
        <v>5000</v>
      </c>
      <c r="L16" s="9"/>
      <c r="M16" s="9"/>
      <c r="N16" s="5">
        <f t="shared" si="0"/>
        <v>59000</v>
      </c>
      <c r="O16" s="7" t="s">
        <v>1242</v>
      </c>
      <c r="P16" s="6"/>
      <c r="Q16" s="6" t="s">
        <v>701</v>
      </c>
      <c r="R16" s="5">
        <f t="shared" si="3"/>
        <v>54000</v>
      </c>
      <c r="S16" s="9">
        <f t="shared" si="4"/>
        <v>54000</v>
      </c>
      <c r="T16" s="7" t="s">
        <v>1246</v>
      </c>
      <c r="U16" s="7"/>
      <c r="V16" s="10"/>
      <c r="W16" s="8"/>
    </row>
    <row r="17" spans="1:24" ht="75" customHeight="1">
      <c r="A17" s="36" t="s">
        <v>1221</v>
      </c>
      <c r="B17" s="4">
        <v>61</v>
      </c>
      <c r="C17" s="1" t="s">
        <v>1243</v>
      </c>
      <c r="D17" s="26">
        <v>500000</v>
      </c>
      <c r="E17" s="13" t="s">
        <v>1244</v>
      </c>
      <c r="F17" s="1"/>
      <c r="G17" s="135">
        <v>100213</v>
      </c>
      <c r="H17" s="1" t="s">
        <v>1248</v>
      </c>
      <c r="I17" s="9">
        <v>50000</v>
      </c>
      <c r="J17" s="9">
        <f t="shared" si="1"/>
        <v>9000</v>
      </c>
      <c r="K17" s="5">
        <f t="shared" si="2"/>
        <v>5000</v>
      </c>
      <c r="L17" s="9"/>
      <c r="M17" s="9"/>
      <c r="N17" s="5">
        <f t="shared" si="0"/>
        <v>59000</v>
      </c>
      <c r="O17" s="7" t="s">
        <v>1242</v>
      </c>
      <c r="P17" s="6"/>
      <c r="Q17" s="6" t="s">
        <v>701</v>
      </c>
      <c r="R17" s="5">
        <f t="shared" si="3"/>
        <v>54000</v>
      </c>
      <c r="S17" s="9">
        <f t="shared" si="4"/>
        <v>54000</v>
      </c>
      <c r="T17" s="7" t="s">
        <v>1246</v>
      </c>
      <c r="U17" s="7"/>
      <c r="V17" s="10"/>
      <c r="W17" s="8"/>
    </row>
    <row r="18" spans="1:24" ht="75" customHeight="1">
      <c r="A18" s="36" t="s">
        <v>1221</v>
      </c>
      <c r="B18" s="4">
        <v>62</v>
      </c>
      <c r="C18" s="1" t="s">
        <v>1243</v>
      </c>
      <c r="D18" s="26">
        <v>500000</v>
      </c>
      <c r="E18" s="13" t="s">
        <v>1244</v>
      </c>
      <c r="F18" s="1"/>
      <c r="G18" s="135">
        <v>100213</v>
      </c>
      <c r="H18" s="1" t="s">
        <v>1249</v>
      </c>
      <c r="I18" s="9">
        <v>100000</v>
      </c>
      <c r="J18" s="9">
        <f t="shared" si="1"/>
        <v>18000</v>
      </c>
      <c r="K18" s="5">
        <f t="shared" si="2"/>
        <v>10000</v>
      </c>
      <c r="L18" s="9"/>
      <c r="M18" s="9"/>
      <c r="N18" s="5">
        <f t="shared" si="0"/>
        <v>118000</v>
      </c>
      <c r="O18" s="7" t="s">
        <v>1242</v>
      </c>
      <c r="P18" s="6"/>
      <c r="Q18" s="6" t="s">
        <v>701</v>
      </c>
      <c r="R18" s="5">
        <f t="shared" si="3"/>
        <v>108000</v>
      </c>
      <c r="S18" s="9">
        <f t="shared" si="4"/>
        <v>108000</v>
      </c>
      <c r="T18" s="7" t="s">
        <v>1246</v>
      </c>
      <c r="U18" s="7"/>
      <c r="V18" s="10"/>
      <c r="W18" s="8"/>
    </row>
    <row r="19" spans="1:24" ht="75" customHeight="1">
      <c r="A19" s="36" t="s">
        <v>1221</v>
      </c>
      <c r="B19" s="4">
        <v>66</v>
      </c>
      <c r="C19" s="1" t="s">
        <v>1250</v>
      </c>
      <c r="D19" s="26">
        <v>600000</v>
      </c>
      <c r="E19" s="13" t="s">
        <v>1251</v>
      </c>
      <c r="F19" s="1"/>
      <c r="G19" s="135">
        <v>100214</v>
      </c>
      <c r="H19" s="1" t="s">
        <v>711</v>
      </c>
      <c r="I19" s="9">
        <v>90000</v>
      </c>
      <c r="J19" s="9">
        <f t="shared" si="1"/>
        <v>16200</v>
      </c>
      <c r="K19" s="5">
        <f t="shared" si="2"/>
        <v>9000</v>
      </c>
      <c r="L19" s="9"/>
      <c r="M19" s="9"/>
      <c r="N19" s="5">
        <f t="shared" si="0"/>
        <v>106200</v>
      </c>
      <c r="O19" s="7" t="s">
        <v>1242</v>
      </c>
      <c r="P19" s="6"/>
      <c r="Q19" s="6" t="s">
        <v>701</v>
      </c>
      <c r="R19" s="5">
        <f t="shared" si="3"/>
        <v>97200</v>
      </c>
      <c r="S19" s="9">
        <f t="shared" si="4"/>
        <v>97200</v>
      </c>
      <c r="T19" s="7" t="s">
        <v>1246</v>
      </c>
      <c r="U19" s="7"/>
      <c r="V19" s="10"/>
      <c r="W19" s="8"/>
    </row>
    <row r="20" spans="1:24" ht="75" customHeight="1">
      <c r="A20" s="36" t="s">
        <v>1221</v>
      </c>
      <c r="B20" s="4">
        <v>63</v>
      </c>
      <c r="C20" s="1" t="s">
        <v>1243</v>
      </c>
      <c r="D20" s="26">
        <v>500000</v>
      </c>
      <c r="E20" s="13" t="s">
        <v>1244</v>
      </c>
      <c r="F20" s="1"/>
      <c r="G20" s="135">
        <v>100216</v>
      </c>
      <c r="H20" s="1" t="s">
        <v>1252</v>
      </c>
      <c r="I20" s="9">
        <v>50000</v>
      </c>
      <c r="J20" s="9">
        <f t="shared" si="1"/>
        <v>9000</v>
      </c>
      <c r="K20" s="5">
        <f t="shared" si="2"/>
        <v>5000</v>
      </c>
      <c r="L20" s="9"/>
      <c r="M20" s="9"/>
      <c r="N20" s="5">
        <f t="shared" si="0"/>
        <v>59000</v>
      </c>
      <c r="O20" s="15" t="s">
        <v>1253</v>
      </c>
      <c r="P20" s="90"/>
      <c r="Q20" s="6" t="s">
        <v>701</v>
      </c>
      <c r="R20" s="5">
        <f t="shared" si="3"/>
        <v>54000</v>
      </c>
      <c r="S20" s="9">
        <f t="shared" si="4"/>
        <v>54000</v>
      </c>
      <c r="T20" s="7" t="s">
        <v>1254</v>
      </c>
      <c r="U20" s="7"/>
      <c r="V20" s="10"/>
      <c r="W20" s="8"/>
    </row>
    <row r="21" spans="1:24" ht="75" customHeight="1">
      <c r="A21" s="36" t="s">
        <v>1221</v>
      </c>
      <c r="B21" s="4">
        <v>64</v>
      </c>
      <c r="C21" s="1" t="s">
        <v>1243</v>
      </c>
      <c r="D21" s="26">
        <v>500000</v>
      </c>
      <c r="E21" s="13" t="s">
        <v>1244</v>
      </c>
      <c r="F21" s="1"/>
      <c r="G21" s="135">
        <v>100216</v>
      </c>
      <c r="H21" s="1" t="s">
        <v>1255</v>
      </c>
      <c r="I21" s="9">
        <v>25000</v>
      </c>
      <c r="J21" s="9">
        <f t="shared" si="1"/>
        <v>4500</v>
      </c>
      <c r="K21" s="5">
        <f t="shared" si="2"/>
        <v>2500</v>
      </c>
      <c r="L21" s="9"/>
      <c r="M21" s="9"/>
      <c r="N21" s="5">
        <f t="shared" si="0"/>
        <v>29500</v>
      </c>
      <c r="O21" s="15" t="s">
        <v>1253</v>
      </c>
      <c r="P21" s="90"/>
      <c r="Q21" s="6" t="s">
        <v>701</v>
      </c>
      <c r="R21" s="5">
        <f t="shared" si="3"/>
        <v>27000</v>
      </c>
      <c r="S21" s="9">
        <f t="shared" si="4"/>
        <v>27000</v>
      </c>
      <c r="T21" s="7" t="s">
        <v>1254</v>
      </c>
      <c r="U21" s="7"/>
      <c r="V21" s="10"/>
      <c r="W21" s="8"/>
    </row>
    <row r="22" spans="1:24" ht="75" customHeight="1">
      <c r="A22" s="36" t="s">
        <v>1221</v>
      </c>
      <c r="B22" s="4">
        <v>67</v>
      </c>
      <c r="C22" s="1" t="s">
        <v>1250</v>
      </c>
      <c r="D22" s="7">
        <v>600000</v>
      </c>
      <c r="E22" s="13" t="s">
        <v>1251</v>
      </c>
      <c r="F22" s="1"/>
      <c r="G22" s="135">
        <v>100219</v>
      </c>
      <c r="H22" s="1" t="s">
        <v>1256</v>
      </c>
      <c r="I22" s="9">
        <v>60000</v>
      </c>
      <c r="J22" s="9">
        <f t="shared" si="1"/>
        <v>10800</v>
      </c>
      <c r="K22" s="9">
        <f t="shared" si="2"/>
        <v>6000</v>
      </c>
      <c r="L22" s="9"/>
      <c r="M22" s="9"/>
      <c r="N22" s="5">
        <f t="shared" si="0"/>
        <v>70800</v>
      </c>
      <c r="O22" s="15" t="s">
        <v>1257</v>
      </c>
      <c r="P22" s="90"/>
      <c r="Q22" s="6" t="s">
        <v>701</v>
      </c>
      <c r="R22" s="5">
        <f t="shared" si="3"/>
        <v>64800</v>
      </c>
      <c r="S22" s="9">
        <f>R22</f>
        <v>64800</v>
      </c>
      <c r="T22" s="7" t="s">
        <v>1254</v>
      </c>
      <c r="U22" s="7"/>
      <c r="V22" s="10"/>
      <c r="W22" s="8"/>
    </row>
    <row r="23" spans="1:24" ht="75" customHeight="1">
      <c r="A23" s="36" t="s">
        <v>1221</v>
      </c>
      <c r="B23" s="4">
        <v>68</v>
      </c>
      <c r="C23" s="1" t="s">
        <v>1250</v>
      </c>
      <c r="D23" s="7">
        <v>600000</v>
      </c>
      <c r="E23" s="13" t="s">
        <v>1251</v>
      </c>
      <c r="F23" s="21"/>
      <c r="G23" s="137">
        <v>100219</v>
      </c>
      <c r="H23" s="1" t="s">
        <v>1258</v>
      </c>
      <c r="I23" s="9">
        <v>60000</v>
      </c>
      <c r="J23" s="9">
        <f t="shared" si="1"/>
        <v>10800</v>
      </c>
      <c r="K23" s="5">
        <f t="shared" si="2"/>
        <v>6000</v>
      </c>
      <c r="L23" s="9"/>
      <c r="M23" s="9"/>
      <c r="N23" s="5">
        <f t="shared" si="0"/>
        <v>70800</v>
      </c>
      <c r="O23" s="15" t="s">
        <v>1257</v>
      </c>
      <c r="P23" s="90"/>
      <c r="Q23" s="6" t="s">
        <v>701</v>
      </c>
      <c r="R23" s="5">
        <f t="shared" si="3"/>
        <v>64800</v>
      </c>
      <c r="S23" s="9">
        <f>R23</f>
        <v>64800</v>
      </c>
      <c r="T23" s="7" t="s">
        <v>1254</v>
      </c>
      <c r="U23" s="7"/>
      <c r="V23" s="10"/>
      <c r="W23" s="8"/>
      <c r="X23" s="11" t="e">
        <f>#REF!-#REF!-#REF!</f>
        <v>#REF!</v>
      </c>
    </row>
    <row r="24" spans="1:24" ht="30" customHeight="1">
      <c r="A24" s="52" t="s">
        <v>1259</v>
      </c>
      <c r="B24" s="43">
        <v>177</v>
      </c>
      <c r="C24" s="81" t="s">
        <v>1260</v>
      </c>
      <c r="D24" s="44">
        <v>1150000</v>
      </c>
      <c r="E24" s="45"/>
      <c r="F24" s="66"/>
      <c r="G24" s="66">
        <v>2230004</v>
      </c>
      <c r="H24" s="77" t="s">
        <v>571</v>
      </c>
      <c r="I24" s="44">
        <v>50000</v>
      </c>
      <c r="J24" s="44">
        <f t="shared" ref="J24:J32" si="5">I24*18%</f>
        <v>9000</v>
      </c>
      <c r="K24" s="48">
        <f t="shared" ref="K24:K32" si="6">I24*10%</f>
        <v>5000</v>
      </c>
      <c r="L24" s="49"/>
      <c r="M24" s="49"/>
      <c r="N24" s="48">
        <f t="shared" ref="N24:N32" si="7">I24+J24</f>
        <v>59000</v>
      </c>
      <c r="O24" s="49" t="s">
        <v>1261</v>
      </c>
      <c r="P24" s="50"/>
      <c r="Q24" s="50" t="s">
        <v>783</v>
      </c>
      <c r="R24" s="48">
        <f t="shared" ref="R24:R32" si="8">N24-K24</f>
        <v>54000</v>
      </c>
      <c r="S24" s="49"/>
      <c r="T24" s="49"/>
      <c r="U24" s="49"/>
      <c r="V24" s="51"/>
      <c r="W24" s="52"/>
      <c r="X24" s="52"/>
    </row>
    <row r="25" spans="1:24">
      <c r="A25" s="52" t="s">
        <v>1259</v>
      </c>
      <c r="B25" s="43">
        <v>188</v>
      </c>
      <c r="C25" s="81" t="s">
        <v>1262</v>
      </c>
      <c r="D25" s="73">
        <v>1200000</v>
      </c>
      <c r="E25" s="67" t="s">
        <v>1263</v>
      </c>
      <c r="F25" s="68"/>
      <c r="G25" s="66">
        <v>2230005</v>
      </c>
      <c r="H25" s="76" t="s">
        <v>1264</v>
      </c>
      <c r="I25" s="56">
        <v>200000</v>
      </c>
      <c r="J25" s="44">
        <f t="shared" si="5"/>
        <v>36000</v>
      </c>
      <c r="K25" s="48">
        <f t="shared" si="6"/>
        <v>20000</v>
      </c>
      <c r="L25" s="49"/>
      <c r="M25" s="49"/>
      <c r="N25" s="48">
        <f t="shared" si="7"/>
        <v>236000</v>
      </c>
      <c r="O25" s="49" t="s">
        <v>1265</v>
      </c>
      <c r="P25" s="50"/>
      <c r="Q25" s="50" t="s">
        <v>783</v>
      </c>
      <c r="R25" s="48">
        <f t="shared" si="8"/>
        <v>216000</v>
      </c>
      <c r="S25" s="49">
        <v>216000</v>
      </c>
      <c r="T25" s="56" t="s">
        <v>1266</v>
      </c>
      <c r="U25" s="56"/>
      <c r="V25" s="69"/>
      <c r="W25" s="52"/>
      <c r="X25" s="52"/>
    </row>
    <row r="26" spans="1:24" ht="75" customHeight="1">
      <c r="A26" s="52" t="s">
        <v>1259</v>
      </c>
      <c r="B26" s="43">
        <v>160</v>
      </c>
      <c r="C26" s="81" t="s">
        <v>1266</v>
      </c>
      <c r="D26" s="44">
        <v>700000</v>
      </c>
      <c r="E26" s="45" t="s">
        <v>1267</v>
      </c>
      <c r="F26" s="66"/>
      <c r="G26" s="66">
        <v>2230006</v>
      </c>
      <c r="H26" s="77" t="s">
        <v>1268</v>
      </c>
      <c r="I26" s="44">
        <v>140000</v>
      </c>
      <c r="J26" s="44">
        <f t="shared" si="5"/>
        <v>25200</v>
      </c>
      <c r="K26" s="48">
        <f t="shared" si="6"/>
        <v>14000</v>
      </c>
      <c r="L26" s="49"/>
      <c r="M26" s="49"/>
      <c r="N26" s="48">
        <f t="shared" si="7"/>
        <v>165200</v>
      </c>
      <c r="O26" s="49" t="s">
        <v>1269</v>
      </c>
      <c r="P26" s="50"/>
      <c r="Q26" s="50" t="s">
        <v>783</v>
      </c>
      <c r="R26" s="48">
        <f t="shared" si="8"/>
        <v>151200</v>
      </c>
      <c r="S26" s="49"/>
      <c r="T26" s="49"/>
      <c r="U26" s="49"/>
      <c r="V26" s="51"/>
      <c r="W26" s="52"/>
      <c r="X26" s="52"/>
    </row>
    <row r="27" spans="1:24" ht="75" customHeight="1">
      <c r="A27" s="52"/>
      <c r="B27" s="43">
        <v>149</v>
      </c>
      <c r="C27" s="81" t="s">
        <v>1270</v>
      </c>
      <c r="D27" s="44">
        <v>2600000</v>
      </c>
      <c r="E27" s="45" t="s">
        <v>1271</v>
      </c>
      <c r="F27" s="66"/>
      <c r="G27" s="66">
        <v>2230007</v>
      </c>
      <c r="H27" s="77" t="s">
        <v>1272</v>
      </c>
      <c r="I27" s="44">
        <v>260000</v>
      </c>
      <c r="J27" s="44">
        <f t="shared" si="5"/>
        <v>46800</v>
      </c>
      <c r="K27" s="48">
        <f t="shared" si="6"/>
        <v>26000</v>
      </c>
      <c r="L27" s="49"/>
      <c r="M27" s="49"/>
      <c r="N27" s="48">
        <f t="shared" si="7"/>
        <v>306800</v>
      </c>
      <c r="O27" s="49" t="s">
        <v>1269</v>
      </c>
      <c r="P27" s="50"/>
      <c r="Q27" s="50" t="s">
        <v>783</v>
      </c>
      <c r="R27" s="48">
        <f t="shared" si="8"/>
        <v>280800</v>
      </c>
      <c r="S27" s="49"/>
      <c r="T27" s="49"/>
      <c r="U27" s="49"/>
      <c r="V27" s="51"/>
      <c r="W27" s="52"/>
      <c r="X27" s="52"/>
    </row>
    <row r="28" spans="1:24" ht="45" customHeight="1">
      <c r="A28" s="52" t="s">
        <v>1259</v>
      </c>
      <c r="B28" s="43">
        <v>179</v>
      </c>
      <c r="C28" s="81" t="s">
        <v>1273</v>
      </c>
      <c r="D28" s="44">
        <v>300000</v>
      </c>
      <c r="E28" s="45"/>
      <c r="F28" s="66"/>
      <c r="G28" s="66">
        <v>2230008</v>
      </c>
      <c r="H28" s="78" t="s">
        <v>1274</v>
      </c>
      <c r="I28" s="44">
        <v>50000</v>
      </c>
      <c r="J28" s="44">
        <f t="shared" si="5"/>
        <v>9000</v>
      </c>
      <c r="K28" s="48">
        <f t="shared" si="6"/>
        <v>5000</v>
      </c>
      <c r="L28" s="49"/>
      <c r="M28" s="49"/>
      <c r="N28" s="48">
        <f t="shared" si="7"/>
        <v>59000</v>
      </c>
      <c r="O28" s="49" t="s">
        <v>820</v>
      </c>
      <c r="P28" s="50"/>
      <c r="Q28" s="50" t="s">
        <v>783</v>
      </c>
      <c r="R28" s="48">
        <f t="shared" si="8"/>
        <v>54000</v>
      </c>
      <c r="S28" s="49">
        <v>58000</v>
      </c>
      <c r="T28" s="49" t="s">
        <v>1275</v>
      </c>
      <c r="U28" s="49"/>
      <c r="V28" s="51"/>
      <c r="W28" s="52"/>
      <c r="X28" s="52"/>
    </row>
    <row r="29" spans="1:24" ht="45" customHeight="1">
      <c r="A29" s="52" t="s">
        <v>1259</v>
      </c>
      <c r="B29" s="43">
        <v>180</v>
      </c>
      <c r="C29" s="81" t="s">
        <v>1273</v>
      </c>
      <c r="D29" s="44">
        <v>300000</v>
      </c>
      <c r="E29" s="45"/>
      <c r="F29" s="66"/>
      <c r="G29" s="66">
        <v>2230009</v>
      </c>
      <c r="H29" s="78" t="s">
        <v>1276</v>
      </c>
      <c r="I29" s="44">
        <v>150000</v>
      </c>
      <c r="J29" s="44">
        <f t="shared" si="5"/>
        <v>27000</v>
      </c>
      <c r="K29" s="48">
        <f t="shared" si="6"/>
        <v>15000</v>
      </c>
      <c r="L29" s="49"/>
      <c r="M29" s="49"/>
      <c r="N29" s="48">
        <f t="shared" si="7"/>
        <v>177000</v>
      </c>
      <c r="O29" s="49" t="s">
        <v>820</v>
      </c>
      <c r="P29" s="50"/>
      <c r="Q29" s="50" t="s">
        <v>783</v>
      </c>
      <c r="R29" s="48">
        <f t="shared" si="8"/>
        <v>162000</v>
      </c>
      <c r="S29" s="49"/>
      <c r="T29" s="49"/>
      <c r="U29" s="49"/>
      <c r="V29" s="51"/>
      <c r="W29" s="52"/>
      <c r="X29" s="52"/>
    </row>
    <row r="30" spans="1:24">
      <c r="A30" s="52" t="s">
        <v>1259</v>
      </c>
      <c r="B30" s="43">
        <v>189</v>
      </c>
      <c r="C30" s="81" t="s">
        <v>1262</v>
      </c>
      <c r="D30" s="73">
        <v>1200000</v>
      </c>
      <c r="E30" s="67" t="s">
        <v>1263</v>
      </c>
      <c r="F30" s="68"/>
      <c r="G30" s="68">
        <v>2230010</v>
      </c>
      <c r="H30" s="79" t="s">
        <v>1277</v>
      </c>
      <c r="I30" s="56">
        <v>250000</v>
      </c>
      <c r="J30" s="44">
        <f t="shared" si="5"/>
        <v>45000</v>
      </c>
      <c r="K30" s="48">
        <f t="shared" si="6"/>
        <v>25000</v>
      </c>
      <c r="L30" s="49"/>
      <c r="M30" s="49"/>
      <c r="N30" s="48">
        <f t="shared" si="7"/>
        <v>295000</v>
      </c>
      <c r="O30" s="49" t="s">
        <v>820</v>
      </c>
      <c r="P30" s="50"/>
      <c r="Q30" s="50" t="s">
        <v>783</v>
      </c>
      <c r="R30" s="48">
        <f t="shared" si="8"/>
        <v>270000</v>
      </c>
      <c r="S30" s="49"/>
      <c r="T30" s="56"/>
      <c r="U30" s="56"/>
      <c r="V30" s="69"/>
      <c r="W30" s="52"/>
      <c r="X30" s="52"/>
    </row>
    <row r="31" spans="1:24">
      <c r="A31" s="52" t="s">
        <v>1259</v>
      </c>
      <c r="B31" s="43">
        <v>195</v>
      </c>
      <c r="C31" s="58" t="s">
        <v>1278</v>
      </c>
      <c r="D31" s="73">
        <v>600000</v>
      </c>
      <c r="E31" s="67" t="s">
        <v>1279</v>
      </c>
      <c r="F31" s="68"/>
      <c r="G31" s="70">
        <v>2230012</v>
      </c>
      <c r="H31" s="79" t="s">
        <v>618</v>
      </c>
      <c r="I31" s="56">
        <v>240000</v>
      </c>
      <c r="J31" s="44">
        <f t="shared" si="5"/>
        <v>43200</v>
      </c>
      <c r="K31" s="48">
        <f t="shared" si="6"/>
        <v>24000</v>
      </c>
      <c r="L31" s="56"/>
      <c r="M31" s="56"/>
      <c r="N31" s="48">
        <f t="shared" si="7"/>
        <v>283200</v>
      </c>
      <c r="O31" s="56" t="s">
        <v>1266</v>
      </c>
      <c r="P31" s="43"/>
      <c r="Q31" s="43" t="s">
        <v>783</v>
      </c>
      <c r="R31" s="48">
        <f t="shared" si="8"/>
        <v>259200</v>
      </c>
      <c r="S31" s="73">
        <f>R31</f>
        <v>259200</v>
      </c>
      <c r="T31" s="56"/>
      <c r="U31" s="56"/>
      <c r="V31" s="69"/>
      <c r="W31" s="52"/>
      <c r="X31" s="52"/>
    </row>
    <row r="32" spans="1:24">
      <c r="A32" s="52" t="s">
        <v>1259</v>
      </c>
      <c r="B32" s="43">
        <v>196</v>
      </c>
      <c r="C32" s="58" t="s">
        <v>1278</v>
      </c>
      <c r="D32" s="73">
        <v>600000</v>
      </c>
      <c r="E32" s="72" t="s">
        <v>1279</v>
      </c>
      <c r="F32" s="68"/>
      <c r="G32" s="70">
        <v>2230014</v>
      </c>
      <c r="H32" s="79" t="s">
        <v>653</v>
      </c>
      <c r="I32" s="56">
        <v>90000</v>
      </c>
      <c r="J32" s="44">
        <f t="shared" si="5"/>
        <v>16200</v>
      </c>
      <c r="K32" s="48">
        <f t="shared" si="6"/>
        <v>9000</v>
      </c>
      <c r="L32" s="56"/>
      <c r="M32" s="56"/>
      <c r="N32" s="48">
        <f t="shared" si="7"/>
        <v>106200</v>
      </c>
      <c r="O32" s="56" t="s">
        <v>1280</v>
      </c>
      <c r="P32" s="43"/>
      <c r="Q32" s="43" t="s">
        <v>783</v>
      </c>
      <c r="R32" s="48">
        <f t="shared" si="8"/>
        <v>97200</v>
      </c>
      <c r="S32" s="73">
        <f>R32</f>
        <v>97200</v>
      </c>
      <c r="T32" s="56" t="s">
        <v>827</v>
      </c>
      <c r="U32" s="56"/>
      <c r="V32" s="69"/>
      <c r="W32" s="52"/>
      <c r="X32" s="71"/>
    </row>
    <row r="33" spans="1:24">
      <c r="A33" s="52" t="s">
        <v>1259</v>
      </c>
      <c r="B33" s="43">
        <v>197</v>
      </c>
      <c r="C33" s="58" t="s">
        <v>1278</v>
      </c>
      <c r="D33" s="73">
        <v>600000</v>
      </c>
      <c r="E33" s="72" t="s">
        <v>1279</v>
      </c>
      <c r="F33" s="68"/>
      <c r="G33" s="70">
        <v>2230016</v>
      </c>
      <c r="H33" s="79" t="s">
        <v>551</v>
      </c>
      <c r="I33" s="56">
        <v>90000</v>
      </c>
      <c r="J33" s="44">
        <f t="shared" ref="J33:J42" si="9">I33*18%</f>
        <v>16200</v>
      </c>
      <c r="K33" s="48">
        <f t="shared" ref="K33:K42" si="10">I33*10%</f>
        <v>9000</v>
      </c>
      <c r="L33" s="56"/>
      <c r="M33" s="56"/>
      <c r="N33" s="48">
        <f t="shared" ref="N33:N42" si="11">I33+J33</f>
        <v>106200</v>
      </c>
      <c r="O33" s="56" t="s">
        <v>1281</v>
      </c>
      <c r="P33" s="43"/>
      <c r="Q33" s="43" t="s">
        <v>783</v>
      </c>
      <c r="R33" s="48">
        <f t="shared" ref="R33:R42" si="12">N33-K33</f>
        <v>97200</v>
      </c>
      <c r="S33" s="73">
        <f>R33</f>
        <v>97200</v>
      </c>
      <c r="T33" s="56" t="s">
        <v>827</v>
      </c>
      <c r="U33" s="56"/>
      <c r="V33" s="69"/>
      <c r="W33" s="52"/>
      <c r="X33" s="52"/>
    </row>
    <row r="34" spans="1:24">
      <c r="A34" s="52" t="s">
        <v>1259</v>
      </c>
      <c r="B34" s="4">
        <v>198</v>
      </c>
      <c r="C34" s="58" t="s">
        <v>1278</v>
      </c>
      <c r="D34" s="73">
        <v>600000</v>
      </c>
      <c r="E34" s="32" t="s">
        <v>1279</v>
      </c>
      <c r="F34" s="30"/>
      <c r="G34" s="70">
        <v>2230017</v>
      </c>
      <c r="H34" s="34" t="s">
        <v>399</v>
      </c>
      <c r="I34" s="140">
        <v>90000</v>
      </c>
      <c r="J34" s="9">
        <f t="shared" si="9"/>
        <v>16200</v>
      </c>
      <c r="K34" s="5">
        <f t="shared" si="10"/>
        <v>9000</v>
      </c>
      <c r="L34" s="25"/>
      <c r="M34" s="25"/>
      <c r="N34" s="5">
        <f t="shared" si="11"/>
        <v>106200</v>
      </c>
      <c r="O34" s="56" t="s">
        <v>1282</v>
      </c>
      <c r="P34" s="43"/>
      <c r="Q34" s="43" t="s">
        <v>783</v>
      </c>
      <c r="R34" s="5">
        <f t="shared" si="12"/>
        <v>97200</v>
      </c>
      <c r="S34" s="73">
        <f>R34</f>
        <v>97200</v>
      </c>
      <c r="T34" s="25"/>
      <c r="U34" s="25"/>
      <c r="V34" s="33"/>
    </row>
    <row r="35" spans="1:24">
      <c r="A35" s="52" t="s">
        <v>1259</v>
      </c>
      <c r="B35" s="4">
        <v>199</v>
      </c>
      <c r="C35" s="58" t="s">
        <v>1278</v>
      </c>
      <c r="D35" s="73">
        <v>600000</v>
      </c>
      <c r="E35" s="32" t="s">
        <v>1279</v>
      </c>
      <c r="F35" s="30"/>
      <c r="G35" s="70">
        <v>2230017</v>
      </c>
      <c r="H35" s="34" t="s">
        <v>571</v>
      </c>
      <c r="I35" s="140">
        <v>90000</v>
      </c>
      <c r="J35" s="9">
        <f t="shared" si="9"/>
        <v>16200</v>
      </c>
      <c r="K35" s="5">
        <f t="shared" si="10"/>
        <v>9000</v>
      </c>
      <c r="L35" s="25"/>
      <c r="M35" s="25"/>
      <c r="N35" s="5">
        <f t="shared" si="11"/>
        <v>106200</v>
      </c>
      <c r="O35" s="56" t="s">
        <v>1282</v>
      </c>
      <c r="P35" s="43"/>
      <c r="Q35" s="43" t="s">
        <v>783</v>
      </c>
      <c r="R35" s="5">
        <f t="shared" si="12"/>
        <v>97200</v>
      </c>
      <c r="S35" s="73">
        <f>R35</f>
        <v>97200</v>
      </c>
      <c r="T35" s="25"/>
      <c r="U35" s="25"/>
      <c r="V35" s="33"/>
    </row>
    <row r="36" spans="1:24" ht="75" customHeight="1">
      <c r="A36" s="52" t="s">
        <v>1259</v>
      </c>
      <c r="B36" s="43">
        <v>161</v>
      </c>
      <c r="C36" s="58" t="s">
        <v>1266</v>
      </c>
      <c r="D36" s="44">
        <v>700000</v>
      </c>
      <c r="E36" s="57" t="s">
        <v>1283</v>
      </c>
      <c r="F36" s="66"/>
      <c r="G36" s="66">
        <v>2230018</v>
      </c>
      <c r="H36" s="77" t="s">
        <v>1284</v>
      </c>
      <c r="I36" s="44">
        <v>70000</v>
      </c>
      <c r="J36" s="44">
        <f t="shared" si="9"/>
        <v>12600</v>
      </c>
      <c r="K36" s="48">
        <f t="shared" si="10"/>
        <v>7000</v>
      </c>
      <c r="L36" s="49"/>
      <c r="M36" s="49"/>
      <c r="N36" s="48">
        <f t="shared" si="11"/>
        <v>82600</v>
      </c>
      <c r="O36" s="49" t="s">
        <v>1285</v>
      </c>
      <c r="P36" s="50"/>
      <c r="Q36" s="43" t="s">
        <v>783</v>
      </c>
      <c r="R36" s="48">
        <f t="shared" si="12"/>
        <v>75600</v>
      </c>
      <c r="S36" s="49"/>
      <c r="T36" s="49"/>
      <c r="U36" s="49"/>
      <c r="V36" s="51"/>
      <c r="W36" s="52"/>
      <c r="X36" s="52"/>
    </row>
    <row r="37" spans="1:24" ht="75" customHeight="1">
      <c r="A37" s="52"/>
      <c r="B37" s="43">
        <v>150</v>
      </c>
      <c r="C37" s="58" t="s">
        <v>1270</v>
      </c>
      <c r="D37" s="44">
        <v>2600000</v>
      </c>
      <c r="E37" s="57" t="s">
        <v>1271</v>
      </c>
      <c r="F37" s="66"/>
      <c r="G37" s="66">
        <v>2230019</v>
      </c>
      <c r="H37" s="77" t="s">
        <v>1286</v>
      </c>
      <c r="I37" s="44">
        <v>260000</v>
      </c>
      <c r="J37" s="44">
        <f t="shared" si="9"/>
        <v>46800</v>
      </c>
      <c r="K37" s="48">
        <f t="shared" si="10"/>
        <v>26000</v>
      </c>
      <c r="L37" s="49"/>
      <c r="M37" s="49"/>
      <c r="N37" s="48">
        <f t="shared" si="11"/>
        <v>306800</v>
      </c>
      <c r="O37" s="49" t="s">
        <v>1285</v>
      </c>
      <c r="P37" s="50"/>
      <c r="Q37" s="43" t="s">
        <v>783</v>
      </c>
      <c r="R37" s="48">
        <f t="shared" si="12"/>
        <v>280800</v>
      </c>
      <c r="S37" s="49"/>
      <c r="T37" s="49"/>
      <c r="U37" s="49"/>
      <c r="V37" s="51"/>
    </row>
    <row r="38" spans="1:24" ht="75" customHeight="1">
      <c r="A38" s="52"/>
      <c r="B38" s="43">
        <v>152</v>
      </c>
      <c r="C38" s="58" t="s">
        <v>1270</v>
      </c>
      <c r="D38" s="44">
        <v>2600000</v>
      </c>
      <c r="E38" s="57" t="s">
        <v>1271</v>
      </c>
      <c r="F38" s="66"/>
      <c r="G38" s="66">
        <v>2230019</v>
      </c>
      <c r="H38" s="77" t="s">
        <v>1287</v>
      </c>
      <c r="I38" s="44">
        <f>520000*0.8</f>
        <v>416000</v>
      </c>
      <c r="J38" s="44">
        <f t="shared" si="9"/>
        <v>74880</v>
      </c>
      <c r="K38" s="48">
        <f t="shared" si="10"/>
        <v>41600</v>
      </c>
      <c r="L38" s="49"/>
      <c r="M38" s="49"/>
      <c r="N38" s="48">
        <f t="shared" si="11"/>
        <v>490880</v>
      </c>
      <c r="O38" s="49" t="s">
        <v>1285</v>
      </c>
      <c r="P38" s="50"/>
      <c r="Q38" s="43" t="s">
        <v>783</v>
      </c>
      <c r="R38" s="48">
        <f t="shared" si="12"/>
        <v>449280</v>
      </c>
      <c r="S38" s="49"/>
      <c r="T38" s="49"/>
      <c r="U38" s="49"/>
      <c r="V38" s="51"/>
    </row>
    <row r="39" spans="1:24" ht="45" customHeight="1">
      <c r="A39" s="52" t="s">
        <v>1259</v>
      </c>
      <c r="B39" s="43">
        <v>181</v>
      </c>
      <c r="C39" s="58" t="s">
        <v>1273</v>
      </c>
      <c r="D39" s="44">
        <v>300000</v>
      </c>
      <c r="E39" s="57"/>
      <c r="F39" s="66"/>
      <c r="G39" s="74">
        <v>2230020</v>
      </c>
      <c r="H39" s="78" t="s">
        <v>1288</v>
      </c>
      <c r="I39" s="44">
        <v>100000</v>
      </c>
      <c r="J39" s="44">
        <f t="shared" si="9"/>
        <v>18000</v>
      </c>
      <c r="K39" s="48">
        <f t="shared" si="10"/>
        <v>10000</v>
      </c>
      <c r="L39" s="49"/>
      <c r="M39" s="49"/>
      <c r="N39" s="48">
        <f t="shared" si="11"/>
        <v>118000</v>
      </c>
      <c r="O39" s="49" t="s">
        <v>827</v>
      </c>
      <c r="P39" s="50"/>
      <c r="Q39" s="43" t="s">
        <v>783</v>
      </c>
      <c r="R39" s="48">
        <f t="shared" si="12"/>
        <v>108000</v>
      </c>
      <c r="S39" s="49"/>
      <c r="T39" s="49"/>
      <c r="U39" s="49"/>
      <c r="V39" s="51"/>
    </row>
    <row r="40" spans="1:24" ht="30" customHeight="1">
      <c r="A40" s="52"/>
      <c r="B40" s="43"/>
      <c r="C40" s="58" t="s">
        <v>1289</v>
      </c>
      <c r="D40" s="44">
        <v>1500000</v>
      </c>
      <c r="E40" s="75" t="s">
        <v>1290</v>
      </c>
      <c r="F40" s="68"/>
      <c r="G40" s="68">
        <v>2230021</v>
      </c>
      <c r="H40" s="78" t="s">
        <v>1291</v>
      </c>
      <c r="I40" s="44">
        <v>300000</v>
      </c>
      <c r="J40" s="44">
        <f t="shared" si="9"/>
        <v>54000</v>
      </c>
      <c r="K40" s="48">
        <f t="shared" si="10"/>
        <v>30000</v>
      </c>
      <c r="L40" s="49"/>
      <c r="M40" s="49"/>
      <c r="N40" s="48">
        <f t="shared" si="11"/>
        <v>354000</v>
      </c>
      <c r="O40" s="49" t="s">
        <v>1292</v>
      </c>
      <c r="P40" s="50"/>
      <c r="Q40" s="43" t="s">
        <v>783</v>
      </c>
      <c r="R40" s="48">
        <f t="shared" si="12"/>
        <v>324000</v>
      </c>
      <c r="S40" s="56"/>
      <c r="T40" s="56"/>
      <c r="U40" s="56"/>
      <c r="V40" s="69"/>
    </row>
    <row r="41" spans="1:24" ht="30" customHeight="1">
      <c r="A41" s="52"/>
      <c r="B41" s="43"/>
      <c r="C41" s="58" t="s">
        <v>1293</v>
      </c>
      <c r="D41" s="44">
        <v>1500000</v>
      </c>
      <c r="E41" s="75" t="s">
        <v>1290</v>
      </c>
      <c r="F41" s="68"/>
      <c r="G41" s="68">
        <v>2230022</v>
      </c>
      <c r="H41" s="78" t="s">
        <v>1294</v>
      </c>
      <c r="I41" s="44">
        <v>250000</v>
      </c>
      <c r="J41" s="44">
        <f t="shared" si="9"/>
        <v>45000</v>
      </c>
      <c r="K41" s="44">
        <f t="shared" si="10"/>
        <v>25000</v>
      </c>
      <c r="L41" s="49"/>
      <c r="M41" s="49"/>
      <c r="N41" s="44">
        <f t="shared" si="11"/>
        <v>295000</v>
      </c>
      <c r="O41" s="49" t="s">
        <v>1292</v>
      </c>
      <c r="P41" s="50"/>
      <c r="Q41" s="43" t="s">
        <v>783</v>
      </c>
      <c r="R41" s="48">
        <f t="shared" si="12"/>
        <v>270000</v>
      </c>
      <c r="S41" s="56"/>
      <c r="T41" s="56"/>
      <c r="U41" s="56"/>
      <c r="V41" s="69"/>
    </row>
    <row r="42" spans="1:24">
      <c r="A42" s="52" t="s">
        <v>1259</v>
      </c>
      <c r="B42" s="43">
        <v>190</v>
      </c>
      <c r="C42" s="58" t="s">
        <v>1262</v>
      </c>
      <c r="D42" s="73">
        <v>1200000</v>
      </c>
      <c r="E42" s="72" t="s">
        <v>1263</v>
      </c>
      <c r="F42" s="68"/>
      <c r="G42" s="74">
        <v>2230024</v>
      </c>
      <c r="H42" s="79" t="s">
        <v>1295</v>
      </c>
      <c r="I42" s="56">
        <v>185000</v>
      </c>
      <c r="J42" s="44">
        <f t="shared" si="9"/>
        <v>33300</v>
      </c>
      <c r="K42" s="44">
        <f t="shared" si="10"/>
        <v>18500</v>
      </c>
      <c r="L42" s="49"/>
      <c r="M42" s="49"/>
      <c r="N42" s="44">
        <f t="shared" si="11"/>
        <v>218300</v>
      </c>
      <c r="O42" s="49" t="s">
        <v>1296</v>
      </c>
      <c r="P42" s="50"/>
      <c r="Q42" s="43" t="s">
        <v>783</v>
      </c>
      <c r="R42" s="44">
        <f t="shared" si="12"/>
        <v>199800</v>
      </c>
      <c r="S42" s="49"/>
      <c r="T42" s="56"/>
      <c r="U42" s="56"/>
      <c r="V42" s="69"/>
    </row>
    <row r="43" spans="1:24">
      <c r="A43" s="52" t="s">
        <v>1259</v>
      </c>
      <c r="B43" s="43"/>
      <c r="C43" s="58" t="s">
        <v>1262</v>
      </c>
      <c r="D43" s="73"/>
      <c r="E43" s="72"/>
      <c r="F43" s="68"/>
      <c r="G43" s="74">
        <v>2230025</v>
      </c>
      <c r="H43" s="79" t="s">
        <v>1297</v>
      </c>
      <c r="I43" s="56">
        <f>250000-I42</f>
        <v>65000</v>
      </c>
      <c r="J43" s="44"/>
      <c r="K43" s="44"/>
      <c r="L43" s="49"/>
      <c r="M43" s="49"/>
      <c r="N43" s="44"/>
      <c r="O43" s="49" t="s">
        <v>1298</v>
      </c>
      <c r="P43" s="50"/>
      <c r="Q43" s="43" t="s">
        <v>783</v>
      </c>
      <c r="R43" s="44"/>
      <c r="S43" s="49"/>
      <c r="T43" s="56"/>
      <c r="U43" s="56"/>
      <c r="V43" s="69"/>
    </row>
    <row r="44" spans="1:24">
      <c r="A44" s="52" t="s">
        <v>1259</v>
      </c>
      <c r="B44" s="43">
        <v>191</v>
      </c>
      <c r="C44" s="58" t="s">
        <v>1262</v>
      </c>
      <c r="D44" s="73">
        <v>1200000</v>
      </c>
      <c r="E44" s="72" t="s">
        <v>1263</v>
      </c>
      <c r="F44" s="68"/>
      <c r="G44" s="74">
        <v>2230025</v>
      </c>
      <c r="H44" s="79" t="s">
        <v>1299</v>
      </c>
      <c r="I44" s="56">
        <f>250000/2</f>
        <v>125000</v>
      </c>
      <c r="J44" s="44">
        <f>I44*18%</f>
        <v>22500</v>
      </c>
      <c r="K44" s="44">
        <f t="shared" ref="K44:K53" si="13">I44*10%</f>
        <v>12500</v>
      </c>
      <c r="L44" s="49"/>
      <c r="M44" s="49"/>
      <c r="N44" s="44">
        <f t="shared" ref="N44:N53" si="14">I44+J44</f>
        <v>147500</v>
      </c>
      <c r="O44" s="49" t="s">
        <v>1298</v>
      </c>
      <c r="P44" s="50"/>
      <c r="Q44" s="43" t="s">
        <v>783</v>
      </c>
      <c r="R44" s="44">
        <f t="shared" ref="R44:R53" si="15">N44-K44</f>
        <v>135000</v>
      </c>
      <c r="S44" s="49"/>
      <c r="T44" s="56"/>
      <c r="U44" s="56"/>
      <c r="V44" s="69"/>
    </row>
    <row r="45" spans="1:24">
      <c r="A45" s="52" t="s">
        <v>1259</v>
      </c>
      <c r="B45" s="43"/>
      <c r="C45" s="58" t="s">
        <v>1262</v>
      </c>
      <c r="D45" s="118"/>
      <c r="E45" s="87"/>
      <c r="F45" s="53"/>
      <c r="G45" s="74">
        <v>2230026</v>
      </c>
      <c r="H45" s="115" t="s">
        <v>1299</v>
      </c>
      <c r="I45" s="56">
        <f>250000/2</f>
        <v>125000</v>
      </c>
      <c r="J45" s="44">
        <f>I45*0.18</f>
        <v>22500</v>
      </c>
      <c r="K45" s="44">
        <f t="shared" si="13"/>
        <v>12500</v>
      </c>
      <c r="L45" s="49"/>
      <c r="M45" s="49"/>
      <c r="N45" s="44">
        <f t="shared" si="14"/>
        <v>147500</v>
      </c>
      <c r="O45" s="49" t="s">
        <v>831</v>
      </c>
      <c r="P45" s="50"/>
      <c r="Q45" s="43" t="s">
        <v>783</v>
      </c>
      <c r="R45" s="44">
        <f t="shared" si="15"/>
        <v>135000</v>
      </c>
      <c r="S45" s="49"/>
      <c r="T45" s="47"/>
      <c r="U45" s="47"/>
      <c r="V45" s="54"/>
    </row>
    <row r="46" spans="1:24" ht="30" customHeight="1">
      <c r="A46" s="38"/>
      <c r="B46" s="84"/>
      <c r="C46" s="58" t="s">
        <v>1289</v>
      </c>
      <c r="D46" s="44">
        <v>1500000</v>
      </c>
      <c r="E46" s="75" t="s">
        <v>1290</v>
      </c>
      <c r="F46" s="53"/>
      <c r="G46" s="70">
        <v>2230027</v>
      </c>
      <c r="H46" s="55" t="s">
        <v>1300</v>
      </c>
      <c r="I46" s="44">
        <f>600000/8</f>
        <v>75000</v>
      </c>
      <c r="J46" s="44">
        <f t="shared" ref="J46:J53" si="16">I46*18%</f>
        <v>13500</v>
      </c>
      <c r="K46" s="44">
        <f t="shared" si="13"/>
        <v>7500</v>
      </c>
      <c r="L46" s="49"/>
      <c r="M46" s="49"/>
      <c r="N46" s="44">
        <f t="shared" si="14"/>
        <v>88500</v>
      </c>
      <c r="O46" s="49" t="s">
        <v>831</v>
      </c>
      <c r="P46" s="50"/>
      <c r="Q46" s="43" t="s">
        <v>783</v>
      </c>
      <c r="R46" s="44">
        <f t="shared" si="15"/>
        <v>81000</v>
      </c>
      <c r="S46" s="47"/>
      <c r="T46" s="47"/>
      <c r="U46" s="47"/>
      <c r="V46" s="54"/>
    </row>
    <row r="47" spans="1:24" ht="30" customHeight="1">
      <c r="A47" s="38"/>
      <c r="B47" s="84"/>
      <c r="C47" s="58" t="s">
        <v>1289</v>
      </c>
      <c r="D47" s="44">
        <v>1500000</v>
      </c>
      <c r="E47" s="75" t="s">
        <v>1290</v>
      </c>
      <c r="F47" s="53"/>
      <c r="G47" s="92">
        <v>2230027</v>
      </c>
      <c r="H47" s="55" t="s">
        <v>1301</v>
      </c>
      <c r="I47" s="44">
        <f>600000/8</f>
        <v>75000</v>
      </c>
      <c r="J47" s="44">
        <f t="shared" si="16"/>
        <v>13500</v>
      </c>
      <c r="K47" s="44">
        <f t="shared" si="13"/>
        <v>7500</v>
      </c>
      <c r="L47" s="49"/>
      <c r="M47" s="49"/>
      <c r="N47" s="44">
        <f t="shared" si="14"/>
        <v>88500</v>
      </c>
      <c r="O47" s="49" t="s">
        <v>831</v>
      </c>
      <c r="P47" s="50"/>
      <c r="Q47" s="43" t="s">
        <v>783</v>
      </c>
      <c r="R47" s="44">
        <f t="shared" si="15"/>
        <v>81000</v>
      </c>
      <c r="S47" s="47"/>
      <c r="T47" s="47"/>
      <c r="U47" s="47"/>
      <c r="V47" s="54"/>
    </row>
    <row r="48" spans="1:24" ht="30" customHeight="1">
      <c r="A48" s="38"/>
      <c r="B48" s="84"/>
      <c r="C48" s="58" t="s">
        <v>1293</v>
      </c>
      <c r="D48" s="44">
        <v>1500000</v>
      </c>
      <c r="E48" s="75" t="s">
        <v>1290</v>
      </c>
      <c r="F48" s="53"/>
      <c r="G48" s="70">
        <v>2230028</v>
      </c>
      <c r="H48" s="55" t="s">
        <v>1300</v>
      </c>
      <c r="I48" s="44">
        <f>400000/8</f>
        <v>50000</v>
      </c>
      <c r="J48" s="44">
        <f t="shared" si="16"/>
        <v>9000</v>
      </c>
      <c r="K48" s="44">
        <f t="shared" si="13"/>
        <v>5000</v>
      </c>
      <c r="L48" s="49"/>
      <c r="M48" s="49"/>
      <c r="N48" s="44">
        <f t="shared" si="14"/>
        <v>59000</v>
      </c>
      <c r="O48" s="49" t="s">
        <v>831</v>
      </c>
      <c r="P48" s="50"/>
      <c r="Q48" s="50" t="s">
        <v>783</v>
      </c>
      <c r="R48" s="44">
        <f t="shared" si="15"/>
        <v>54000</v>
      </c>
      <c r="S48" s="47"/>
      <c r="T48" s="47"/>
      <c r="U48" s="47"/>
      <c r="V48" s="54"/>
    </row>
    <row r="49" spans="1:22" ht="30" customHeight="1">
      <c r="A49" s="38"/>
      <c r="B49" s="84"/>
      <c r="C49" s="58" t="s">
        <v>1293</v>
      </c>
      <c r="D49" s="44">
        <v>1500000</v>
      </c>
      <c r="E49" s="75" t="s">
        <v>1290</v>
      </c>
      <c r="F49" s="53"/>
      <c r="G49" s="70">
        <v>2230028</v>
      </c>
      <c r="H49" s="55" t="s">
        <v>1301</v>
      </c>
      <c r="I49" s="44">
        <f>400000/8</f>
        <v>50000</v>
      </c>
      <c r="J49" s="44">
        <f t="shared" si="16"/>
        <v>9000</v>
      </c>
      <c r="K49" s="44">
        <f t="shared" si="13"/>
        <v>5000</v>
      </c>
      <c r="L49" s="49"/>
      <c r="M49" s="49"/>
      <c r="N49" s="44">
        <f t="shared" si="14"/>
        <v>59000</v>
      </c>
      <c r="O49" s="49" t="s">
        <v>831</v>
      </c>
      <c r="P49" s="50"/>
      <c r="Q49" s="50" t="s">
        <v>783</v>
      </c>
      <c r="R49" s="44">
        <f t="shared" si="15"/>
        <v>54000</v>
      </c>
      <c r="S49" s="47"/>
      <c r="T49" s="47"/>
      <c r="U49" s="47"/>
      <c r="V49" s="54"/>
    </row>
    <row r="50" spans="1:22" ht="30" customHeight="1">
      <c r="A50" s="38"/>
      <c r="B50" s="84"/>
      <c r="C50" s="58" t="s">
        <v>1302</v>
      </c>
      <c r="D50" s="44">
        <v>1700000</v>
      </c>
      <c r="E50" s="75" t="s">
        <v>1303</v>
      </c>
      <c r="F50" s="53"/>
      <c r="G50" s="70">
        <v>2230029</v>
      </c>
      <c r="H50" s="55" t="s">
        <v>1304</v>
      </c>
      <c r="I50" s="44">
        <v>170000</v>
      </c>
      <c r="J50" s="44">
        <f t="shared" si="16"/>
        <v>30600</v>
      </c>
      <c r="K50" s="44">
        <f t="shared" si="13"/>
        <v>17000</v>
      </c>
      <c r="L50" s="49"/>
      <c r="M50" s="49"/>
      <c r="N50" s="44">
        <f t="shared" si="14"/>
        <v>200600</v>
      </c>
      <c r="O50" s="49" t="s">
        <v>1305</v>
      </c>
      <c r="P50" s="50"/>
      <c r="Q50" s="50" t="s">
        <v>783</v>
      </c>
      <c r="R50" s="44">
        <f t="shared" si="15"/>
        <v>183600</v>
      </c>
      <c r="S50" s="118">
        <f>R50</f>
        <v>183600</v>
      </c>
      <c r="T50" s="47" t="s">
        <v>1306</v>
      </c>
      <c r="U50" s="47"/>
      <c r="V50" s="54"/>
    </row>
    <row r="51" spans="1:22" ht="30" customHeight="1">
      <c r="A51" s="38"/>
      <c r="B51" s="84"/>
      <c r="C51" s="58" t="s">
        <v>1307</v>
      </c>
      <c r="D51" s="44">
        <v>800000</v>
      </c>
      <c r="E51" s="75" t="s">
        <v>1303</v>
      </c>
      <c r="F51" s="53"/>
      <c r="G51" s="70">
        <v>2230029</v>
      </c>
      <c r="H51" s="55" t="s">
        <v>1304</v>
      </c>
      <c r="I51" s="44">
        <v>80000</v>
      </c>
      <c r="J51" s="44">
        <f t="shared" si="16"/>
        <v>14400</v>
      </c>
      <c r="K51" s="44">
        <f t="shared" si="13"/>
        <v>8000</v>
      </c>
      <c r="L51" s="49"/>
      <c r="M51" s="49"/>
      <c r="N51" s="44">
        <f t="shared" si="14"/>
        <v>94400</v>
      </c>
      <c r="O51" s="49" t="s">
        <v>1305</v>
      </c>
      <c r="P51" s="49"/>
      <c r="Q51" s="49" t="s">
        <v>783</v>
      </c>
      <c r="R51" s="44">
        <f t="shared" si="15"/>
        <v>86400</v>
      </c>
      <c r="S51" s="118">
        <f>R51</f>
        <v>86400</v>
      </c>
      <c r="T51" s="47" t="s">
        <v>1306</v>
      </c>
      <c r="U51" s="47"/>
      <c r="V51" s="54"/>
    </row>
    <row r="52" spans="1:22" ht="75" customHeight="1">
      <c r="A52" s="52" t="s">
        <v>1259</v>
      </c>
      <c r="B52" s="43">
        <v>162</v>
      </c>
      <c r="C52" s="58" t="s">
        <v>1266</v>
      </c>
      <c r="D52" s="44">
        <v>700000</v>
      </c>
      <c r="E52" s="57" t="s">
        <v>1308</v>
      </c>
      <c r="F52" s="46"/>
      <c r="G52" s="66">
        <v>2230030</v>
      </c>
      <c r="H52" s="116" t="s">
        <v>1309</v>
      </c>
      <c r="I52" s="44">
        <v>70000</v>
      </c>
      <c r="J52" s="44">
        <f t="shared" si="16"/>
        <v>12600</v>
      </c>
      <c r="K52" s="44">
        <f t="shared" si="13"/>
        <v>7000</v>
      </c>
      <c r="L52" s="49"/>
      <c r="M52" s="49"/>
      <c r="N52" s="44">
        <f t="shared" si="14"/>
        <v>82600</v>
      </c>
      <c r="O52" s="49" t="s">
        <v>1310</v>
      </c>
      <c r="P52" s="49"/>
      <c r="Q52" s="56" t="s">
        <v>783</v>
      </c>
      <c r="R52" s="44">
        <f t="shared" si="15"/>
        <v>75600</v>
      </c>
      <c r="S52" s="49"/>
      <c r="T52" s="49"/>
      <c r="U52" s="49"/>
      <c r="V52" s="51"/>
    </row>
    <row r="53" spans="1:22">
      <c r="A53" s="52" t="s">
        <v>1259</v>
      </c>
      <c r="B53" s="43">
        <v>192</v>
      </c>
      <c r="C53" s="58" t="s">
        <v>1262</v>
      </c>
      <c r="D53" s="118">
        <v>1200000</v>
      </c>
      <c r="E53" s="87" t="s">
        <v>1263</v>
      </c>
      <c r="F53" s="53"/>
      <c r="G53" s="74">
        <v>2230031</v>
      </c>
      <c r="H53" s="115" t="s">
        <v>1311</v>
      </c>
      <c r="I53" s="56">
        <v>150000</v>
      </c>
      <c r="J53" s="44">
        <f t="shared" si="16"/>
        <v>27000</v>
      </c>
      <c r="K53" s="44">
        <f t="shared" si="13"/>
        <v>15000</v>
      </c>
      <c r="L53" s="49"/>
      <c r="M53" s="49"/>
      <c r="N53" s="44">
        <f t="shared" si="14"/>
        <v>177000</v>
      </c>
      <c r="O53" s="65" t="s">
        <v>1312</v>
      </c>
      <c r="P53" s="65"/>
      <c r="Q53" s="56" t="s">
        <v>783</v>
      </c>
      <c r="R53" s="44">
        <f t="shared" si="15"/>
        <v>162000</v>
      </c>
      <c r="S53" s="49"/>
      <c r="T53" s="47"/>
      <c r="U53" s="47"/>
      <c r="V53" s="54"/>
    </row>
    <row r="54" spans="1:22" ht="15.75" customHeight="1">
      <c r="A54" s="52"/>
      <c r="B54" s="43"/>
      <c r="C54" s="82" t="s">
        <v>1313</v>
      </c>
      <c r="D54" s="73">
        <v>800000</v>
      </c>
      <c r="E54" s="107" t="s">
        <v>1314</v>
      </c>
      <c r="F54" s="68"/>
      <c r="G54" s="68">
        <v>2230033</v>
      </c>
      <c r="H54" s="111" t="s">
        <v>711</v>
      </c>
      <c r="I54" s="145">
        <v>80000</v>
      </c>
      <c r="J54" s="56"/>
      <c r="K54" s="56"/>
      <c r="L54" s="56"/>
      <c r="M54" s="56"/>
      <c r="N54" s="56"/>
      <c r="O54" s="56" t="s">
        <v>1315</v>
      </c>
      <c r="P54" s="56"/>
      <c r="Q54" s="56" t="s">
        <v>783</v>
      </c>
      <c r="R54" s="56"/>
      <c r="S54" s="56"/>
      <c r="T54" s="56"/>
      <c r="U54" s="56"/>
      <c r="V54" s="69"/>
    </row>
    <row r="55" spans="1:22" ht="75" customHeight="1">
      <c r="A55" s="38"/>
      <c r="B55" s="43">
        <v>151</v>
      </c>
      <c r="C55" s="58" t="s">
        <v>1270</v>
      </c>
      <c r="D55" s="44">
        <v>2600000</v>
      </c>
      <c r="E55" s="45" t="s">
        <v>1271</v>
      </c>
      <c r="F55" s="46"/>
      <c r="G55" s="66">
        <v>2230036</v>
      </c>
      <c r="H55" s="112" t="s">
        <v>1316</v>
      </c>
      <c r="I55" s="44">
        <v>520000</v>
      </c>
      <c r="J55" s="44">
        <f t="shared" ref="J55:J70" si="17">I55*18%</f>
        <v>93600</v>
      </c>
      <c r="K55" s="44">
        <f t="shared" ref="K55:K68" si="18">I55*10%</f>
        <v>52000</v>
      </c>
      <c r="L55" s="49"/>
      <c r="M55" s="49"/>
      <c r="N55" s="44">
        <f t="shared" ref="N55:N68" si="19">I55+J55</f>
        <v>613600</v>
      </c>
      <c r="O55" s="65" t="s">
        <v>1317</v>
      </c>
      <c r="P55" s="65"/>
      <c r="Q55" s="49" t="s">
        <v>783</v>
      </c>
      <c r="R55" s="44">
        <f t="shared" ref="R55:R68" si="20">N55-K55</f>
        <v>561600</v>
      </c>
      <c r="S55" s="49"/>
      <c r="T55" s="49"/>
      <c r="U55" s="49"/>
      <c r="V55" s="51"/>
    </row>
    <row r="56" spans="1:22" ht="75" customHeight="1">
      <c r="A56" s="38"/>
      <c r="B56" s="43"/>
      <c r="C56" s="58" t="s">
        <v>1270</v>
      </c>
      <c r="D56" s="44">
        <v>2600000</v>
      </c>
      <c r="E56" s="57" t="s">
        <v>1271</v>
      </c>
      <c r="F56" s="46"/>
      <c r="G56" s="66">
        <v>2230036</v>
      </c>
      <c r="H56" s="112" t="s">
        <v>1318</v>
      </c>
      <c r="I56" s="44">
        <f>520000*0.2</f>
        <v>104000</v>
      </c>
      <c r="J56" s="44">
        <f t="shared" si="17"/>
        <v>18720</v>
      </c>
      <c r="K56" s="44">
        <f t="shared" si="18"/>
        <v>10400</v>
      </c>
      <c r="L56" s="49"/>
      <c r="M56" s="49"/>
      <c r="N56" s="44">
        <f t="shared" si="19"/>
        <v>122720</v>
      </c>
      <c r="O56" s="65" t="s">
        <v>1317</v>
      </c>
      <c r="P56" s="65"/>
      <c r="Q56" s="49" t="s">
        <v>783</v>
      </c>
      <c r="R56" s="44">
        <f t="shared" si="20"/>
        <v>112320</v>
      </c>
      <c r="S56" s="49"/>
      <c r="T56" s="49"/>
      <c r="U56" s="49"/>
      <c r="V56" s="51"/>
    </row>
    <row r="57" spans="1:22" ht="30" customHeight="1">
      <c r="A57" s="52"/>
      <c r="B57" s="43"/>
      <c r="C57" s="82" t="s">
        <v>1319</v>
      </c>
      <c r="D57" s="73">
        <v>1250000</v>
      </c>
      <c r="E57" s="72" t="s">
        <v>1320</v>
      </c>
      <c r="F57" s="68"/>
      <c r="G57" s="68">
        <v>2230037</v>
      </c>
      <c r="H57" s="110" t="s">
        <v>711</v>
      </c>
      <c r="I57" s="146">
        <v>187500</v>
      </c>
      <c r="J57" s="44">
        <f t="shared" si="17"/>
        <v>33750</v>
      </c>
      <c r="K57" s="44">
        <f t="shared" si="18"/>
        <v>18750</v>
      </c>
      <c r="L57" s="49"/>
      <c r="M57" s="49"/>
      <c r="N57" s="44">
        <f t="shared" si="19"/>
        <v>221250</v>
      </c>
      <c r="O57" s="49" t="s">
        <v>1321</v>
      </c>
      <c r="P57" s="49"/>
      <c r="Q57" s="49" t="s">
        <v>783</v>
      </c>
      <c r="R57" s="44">
        <f t="shared" si="20"/>
        <v>202500</v>
      </c>
      <c r="S57" s="73">
        <f>R57</f>
        <v>202500</v>
      </c>
      <c r="T57" s="49" t="s">
        <v>1321</v>
      </c>
      <c r="U57" s="56"/>
      <c r="V57" s="69"/>
    </row>
    <row r="58" spans="1:22">
      <c r="A58" s="52"/>
      <c r="B58" s="43"/>
      <c r="C58" s="82" t="s">
        <v>1322</v>
      </c>
      <c r="D58" s="73">
        <v>2800000</v>
      </c>
      <c r="E58" s="72" t="s">
        <v>1321</v>
      </c>
      <c r="F58" s="68"/>
      <c r="G58" s="68">
        <v>2230038</v>
      </c>
      <c r="H58" s="79" t="s">
        <v>618</v>
      </c>
      <c r="I58" s="56">
        <v>560000</v>
      </c>
      <c r="J58" s="56">
        <f t="shared" si="17"/>
        <v>100800</v>
      </c>
      <c r="K58" s="56">
        <f t="shared" si="18"/>
        <v>56000</v>
      </c>
      <c r="L58" s="56"/>
      <c r="M58" s="56"/>
      <c r="N58" s="56">
        <f t="shared" si="19"/>
        <v>660800</v>
      </c>
      <c r="O58" s="56" t="s">
        <v>1323</v>
      </c>
      <c r="P58" s="56"/>
      <c r="Q58" s="56" t="s">
        <v>783</v>
      </c>
      <c r="R58" s="56">
        <f t="shared" si="20"/>
        <v>604800</v>
      </c>
      <c r="S58" s="56"/>
      <c r="T58" s="56"/>
      <c r="U58" s="56"/>
      <c r="V58" s="69"/>
    </row>
    <row r="59" spans="1:22">
      <c r="A59" s="52"/>
      <c r="B59" s="43"/>
      <c r="C59" s="82" t="s">
        <v>1324</v>
      </c>
      <c r="D59" s="73">
        <v>1475000</v>
      </c>
      <c r="E59" s="72" t="s">
        <v>1325</v>
      </c>
      <c r="F59" s="68"/>
      <c r="G59" s="68">
        <v>2230039</v>
      </c>
      <c r="H59" s="79" t="s">
        <v>618</v>
      </c>
      <c r="I59" s="56">
        <v>221250</v>
      </c>
      <c r="J59" s="56">
        <f t="shared" si="17"/>
        <v>39825</v>
      </c>
      <c r="K59" s="56">
        <f t="shared" si="18"/>
        <v>22125</v>
      </c>
      <c r="L59" s="56"/>
      <c r="M59" s="56"/>
      <c r="N59" s="56">
        <f t="shared" si="19"/>
        <v>261075</v>
      </c>
      <c r="O59" s="56" t="s">
        <v>1326</v>
      </c>
      <c r="P59" s="56"/>
      <c r="Q59" s="56" t="s">
        <v>783</v>
      </c>
      <c r="R59" s="56">
        <f t="shared" si="20"/>
        <v>238950</v>
      </c>
      <c r="S59" s="56"/>
      <c r="T59" s="56"/>
      <c r="U59" s="56"/>
      <c r="V59" s="69"/>
    </row>
    <row r="60" spans="1:22" ht="30" customHeight="1">
      <c r="A60" s="38"/>
      <c r="B60" s="84"/>
      <c r="C60" s="58" t="s">
        <v>1293</v>
      </c>
      <c r="D60" s="44">
        <v>1500000</v>
      </c>
      <c r="E60" s="75" t="s">
        <v>1290</v>
      </c>
      <c r="F60" s="53"/>
      <c r="G60" s="70">
        <v>2324001</v>
      </c>
      <c r="H60" s="55" t="s">
        <v>1327</v>
      </c>
      <c r="I60" s="44">
        <f>400000/8</f>
        <v>50000</v>
      </c>
      <c r="J60" s="44">
        <f t="shared" si="17"/>
        <v>9000</v>
      </c>
      <c r="K60" s="44">
        <f t="shared" si="18"/>
        <v>5000</v>
      </c>
      <c r="L60" s="49"/>
      <c r="M60" s="49"/>
      <c r="N60" s="44">
        <f t="shared" si="19"/>
        <v>59000</v>
      </c>
      <c r="O60" s="49" t="s">
        <v>861</v>
      </c>
      <c r="P60" s="49" t="s">
        <v>838</v>
      </c>
      <c r="Q60" s="49" t="s">
        <v>839</v>
      </c>
      <c r="R60" s="44">
        <f t="shared" si="20"/>
        <v>54000</v>
      </c>
      <c r="S60" s="47"/>
      <c r="T60" s="47"/>
      <c r="U60" s="47"/>
      <c r="V60" s="54"/>
    </row>
    <row r="61" spans="1:22" ht="30" customHeight="1">
      <c r="A61" s="38"/>
      <c r="B61" s="84"/>
      <c r="C61" s="58" t="s">
        <v>1293</v>
      </c>
      <c r="D61" s="44">
        <v>1500000</v>
      </c>
      <c r="E61" s="107" t="s">
        <v>1290</v>
      </c>
      <c r="F61" s="53"/>
      <c r="G61" s="70">
        <v>2324001</v>
      </c>
      <c r="H61" s="55" t="s">
        <v>1328</v>
      </c>
      <c r="I61" s="44">
        <f>400000/8</f>
        <v>50000</v>
      </c>
      <c r="J61" s="44">
        <f t="shared" si="17"/>
        <v>9000</v>
      </c>
      <c r="K61" s="44">
        <f t="shared" si="18"/>
        <v>5000</v>
      </c>
      <c r="L61" s="49"/>
      <c r="M61" s="49"/>
      <c r="N61" s="44">
        <f t="shared" si="19"/>
        <v>59000</v>
      </c>
      <c r="O61" s="47" t="s">
        <v>861</v>
      </c>
      <c r="P61" s="49" t="s">
        <v>838</v>
      </c>
      <c r="Q61" s="49" t="s">
        <v>839</v>
      </c>
      <c r="R61" s="44">
        <f t="shared" si="20"/>
        <v>54000</v>
      </c>
      <c r="S61" s="47"/>
      <c r="T61" s="47"/>
      <c r="U61" s="47"/>
      <c r="V61" s="54"/>
    </row>
    <row r="62" spans="1:22" ht="30" customHeight="1">
      <c r="A62" s="38"/>
      <c r="B62" s="84"/>
      <c r="C62" s="58" t="s">
        <v>1289</v>
      </c>
      <c r="D62" s="44">
        <v>1500000</v>
      </c>
      <c r="E62" s="75" t="s">
        <v>1290</v>
      </c>
      <c r="F62" s="53"/>
      <c r="G62" s="70">
        <v>2324002</v>
      </c>
      <c r="H62" s="55" t="s">
        <v>1327</v>
      </c>
      <c r="I62" s="44">
        <f>600000/8</f>
        <v>75000</v>
      </c>
      <c r="J62" s="44">
        <f t="shared" si="17"/>
        <v>13500</v>
      </c>
      <c r="K62" s="44">
        <f t="shared" si="18"/>
        <v>7500</v>
      </c>
      <c r="L62" s="49"/>
      <c r="M62" s="49"/>
      <c r="N62" s="44">
        <f t="shared" si="19"/>
        <v>88500</v>
      </c>
      <c r="O62" s="47" t="s">
        <v>861</v>
      </c>
      <c r="P62" s="49" t="s">
        <v>838</v>
      </c>
      <c r="Q62" s="49" t="s">
        <v>839</v>
      </c>
      <c r="R62" s="44">
        <f t="shared" si="20"/>
        <v>81000</v>
      </c>
      <c r="S62" s="47"/>
      <c r="T62" s="47"/>
      <c r="U62" s="47"/>
      <c r="V62" s="54"/>
    </row>
    <row r="63" spans="1:22" ht="30" customHeight="1">
      <c r="A63" s="38"/>
      <c r="B63" s="84"/>
      <c r="C63" s="58" t="s">
        <v>1289</v>
      </c>
      <c r="D63" s="44">
        <v>1500000</v>
      </c>
      <c r="E63" s="75" t="s">
        <v>1290</v>
      </c>
      <c r="F63" s="53"/>
      <c r="G63" s="70">
        <v>2324002</v>
      </c>
      <c r="H63" s="55" t="s">
        <v>1328</v>
      </c>
      <c r="I63" s="44">
        <f>600000/8</f>
        <v>75000</v>
      </c>
      <c r="J63" s="44">
        <f t="shared" si="17"/>
        <v>13500</v>
      </c>
      <c r="K63" s="44">
        <f t="shared" si="18"/>
        <v>7500</v>
      </c>
      <c r="L63" s="49"/>
      <c r="M63" s="49"/>
      <c r="N63" s="44">
        <f t="shared" si="19"/>
        <v>88500</v>
      </c>
      <c r="O63" s="47" t="s">
        <v>861</v>
      </c>
      <c r="P63" s="49" t="s">
        <v>838</v>
      </c>
      <c r="Q63" s="49" t="s">
        <v>839</v>
      </c>
      <c r="R63" s="44">
        <f t="shared" si="20"/>
        <v>81000</v>
      </c>
      <c r="S63" s="47"/>
      <c r="T63" s="47"/>
      <c r="U63" s="47"/>
      <c r="V63" s="54"/>
    </row>
    <row r="64" spans="1:22">
      <c r="A64" s="38" t="s">
        <v>1221</v>
      </c>
      <c r="B64" s="43">
        <v>193</v>
      </c>
      <c r="C64" s="58" t="s">
        <v>1262</v>
      </c>
      <c r="D64" s="118">
        <v>1200000</v>
      </c>
      <c r="E64" s="87" t="s">
        <v>1263</v>
      </c>
      <c r="F64" s="53"/>
      <c r="G64" s="70">
        <v>2324003</v>
      </c>
      <c r="H64" s="115" t="s">
        <v>1329</v>
      </c>
      <c r="I64" s="118">
        <v>50000</v>
      </c>
      <c r="J64" s="44">
        <f t="shared" si="17"/>
        <v>9000</v>
      </c>
      <c r="K64" s="44">
        <f t="shared" si="18"/>
        <v>5000</v>
      </c>
      <c r="L64" s="47"/>
      <c r="M64" s="47"/>
      <c r="N64" s="44">
        <f t="shared" si="19"/>
        <v>59000</v>
      </c>
      <c r="O64" s="47" t="s">
        <v>861</v>
      </c>
      <c r="P64" s="47" t="s">
        <v>838</v>
      </c>
      <c r="Q64" s="49" t="s">
        <v>839</v>
      </c>
      <c r="R64" s="44">
        <f t="shared" si="20"/>
        <v>54000</v>
      </c>
      <c r="S64" s="47"/>
      <c r="T64" s="47"/>
      <c r="U64" s="47"/>
      <c r="V64" s="54"/>
    </row>
    <row r="65" spans="1:22">
      <c r="A65" s="38" t="s">
        <v>1221</v>
      </c>
      <c r="B65" s="43">
        <v>194</v>
      </c>
      <c r="C65" s="58" t="s">
        <v>1262</v>
      </c>
      <c r="D65" s="118">
        <v>1200000</v>
      </c>
      <c r="E65" s="87" t="s">
        <v>1263</v>
      </c>
      <c r="F65" s="53"/>
      <c r="G65" s="376">
        <v>2324003</v>
      </c>
      <c r="H65" s="115" t="s">
        <v>1330</v>
      </c>
      <c r="I65" s="118">
        <v>50000</v>
      </c>
      <c r="J65" s="44">
        <f t="shared" si="17"/>
        <v>9000</v>
      </c>
      <c r="K65" s="44">
        <f t="shared" si="18"/>
        <v>5000</v>
      </c>
      <c r="L65" s="47"/>
      <c r="M65" s="47"/>
      <c r="N65" s="44">
        <f t="shared" si="19"/>
        <v>59000</v>
      </c>
      <c r="O65" s="47" t="s">
        <v>861</v>
      </c>
      <c r="P65" s="47" t="s">
        <v>838</v>
      </c>
      <c r="Q65" s="49" t="s">
        <v>839</v>
      </c>
      <c r="R65" s="44">
        <f t="shared" si="20"/>
        <v>54000</v>
      </c>
      <c r="S65" s="47"/>
      <c r="T65" s="47"/>
      <c r="U65" s="47"/>
      <c r="V65" s="54"/>
    </row>
    <row r="66" spans="1:22" ht="30" customHeight="1">
      <c r="A66" s="38"/>
      <c r="B66" s="84"/>
      <c r="C66" s="58" t="s">
        <v>1293</v>
      </c>
      <c r="D66" s="44">
        <v>1500000</v>
      </c>
      <c r="E66" s="75" t="s">
        <v>1290</v>
      </c>
      <c r="F66" s="53"/>
      <c r="G66" s="108">
        <v>2324004</v>
      </c>
      <c r="H66" s="55" t="s">
        <v>1331</v>
      </c>
      <c r="I66" s="44">
        <v>250000</v>
      </c>
      <c r="J66" s="44">
        <f t="shared" si="17"/>
        <v>45000</v>
      </c>
      <c r="K66" s="44">
        <f t="shared" si="18"/>
        <v>25000</v>
      </c>
      <c r="L66" s="49"/>
      <c r="M66" s="49"/>
      <c r="N66" s="44">
        <f t="shared" si="19"/>
        <v>295000</v>
      </c>
      <c r="O66" s="47" t="s">
        <v>861</v>
      </c>
      <c r="P66" s="49" t="s">
        <v>838</v>
      </c>
      <c r="Q66" s="49" t="s">
        <v>839</v>
      </c>
      <c r="R66" s="44">
        <f t="shared" si="20"/>
        <v>270000</v>
      </c>
      <c r="S66" s="47"/>
      <c r="T66" s="47"/>
      <c r="U66" s="47"/>
      <c r="V66" s="54"/>
    </row>
    <row r="67" spans="1:22" ht="30" customHeight="1">
      <c r="A67" s="38"/>
      <c r="B67" s="84"/>
      <c r="C67" s="58" t="s">
        <v>1293</v>
      </c>
      <c r="D67" s="44">
        <v>1500000</v>
      </c>
      <c r="E67" s="75" t="s">
        <v>1290</v>
      </c>
      <c r="F67" s="53"/>
      <c r="G67" s="108">
        <v>2324004</v>
      </c>
      <c r="H67" s="55" t="s">
        <v>1332</v>
      </c>
      <c r="I67" s="44">
        <v>250000</v>
      </c>
      <c r="J67" s="44">
        <f t="shared" si="17"/>
        <v>45000</v>
      </c>
      <c r="K67" s="44">
        <f t="shared" si="18"/>
        <v>25000</v>
      </c>
      <c r="L67" s="49"/>
      <c r="M67" s="49"/>
      <c r="N67" s="44">
        <f t="shared" si="19"/>
        <v>295000</v>
      </c>
      <c r="O67" s="47" t="s">
        <v>861</v>
      </c>
      <c r="P67" s="49" t="s">
        <v>838</v>
      </c>
      <c r="Q67" s="49" t="s">
        <v>839</v>
      </c>
      <c r="R67" s="44">
        <f t="shared" si="20"/>
        <v>270000</v>
      </c>
      <c r="S67" s="47"/>
      <c r="T67" s="47"/>
      <c r="U67" s="47"/>
      <c r="V67" s="54"/>
    </row>
    <row r="68" spans="1:22" ht="30" customHeight="1">
      <c r="A68" s="38"/>
      <c r="B68" s="84"/>
      <c r="C68" s="58" t="s">
        <v>1293</v>
      </c>
      <c r="D68" s="44">
        <v>1500000</v>
      </c>
      <c r="E68" s="75" t="s">
        <v>1290</v>
      </c>
      <c r="F68" s="53"/>
      <c r="G68" s="108">
        <v>2324004</v>
      </c>
      <c r="H68" s="55" t="s">
        <v>1333</v>
      </c>
      <c r="I68" s="44">
        <v>350000</v>
      </c>
      <c r="J68" s="44">
        <f t="shared" si="17"/>
        <v>63000</v>
      </c>
      <c r="K68" s="44">
        <f t="shared" si="18"/>
        <v>35000</v>
      </c>
      <c r="L68" s="49"/>
      <c r="M68" s="49"/>
      <c r="N68" s="44">
        <f t="shared" si="19"/>
        <v>413000</v>
      </c>
      <c r="O68" s="47" t="s">
        <v>861</v>
      </c>
      <c r="P68" s="49" t="s">
        <v>838</v>
      </c>
      <c r="Q68" s="49" t="s">
        <v>839</v>
      </c>
      <c r="R68" s="44">
        <f t="shared" si="20"/>
        <v>378000</v>
      </c>
      <c r="S68" s="47"/>
      <c r="T68" s="47"/>
      <c r="U68" s="47"/>
      <c r="V68" s="54"/>
    </row>
    <row r="69" spans="1:22" ht="15" customHeight="1" thickBot="1">
      <c r="A69" s="52"/>
      <c r="B69" s="43"/>
      <c r="C69" s="82" t="s">
        <v>1313</v>
      </c>
      <c r="D69" s="73">
        <v>800000</v>
      </c>
      <c r="E69" s="75" t="s">
        <v>1314</v>
      </c>
      <c r="F69" s="68"/>
      <c r="G69" s="68">
        <v>2324005</v>
      </c>
      <c r="H69" s="114" t="s">
        <v>627</v>
      </c>
      <c r="I69" s="145">
        <v>160000</v>
      </c>
      <c r="J69" s="44">
        <f t="shared" si="17"/>
        <v>28800</v>
      </c>
      <c r="K69" s="56"/>
      <c r="L69" s="56"/>
      <c r="M69" s="56"/>
      <c r="N69" s="56"/>
      <c r="O69" s="56" t="s">
        <v>1334</v>
      </c>
      <c r="P69" s="56"/>
      <c r="Q69" s="56" t="s">
        <v>839</v>
      </c>
      <c r="R69" s="56"/>
      <c r="S69" s="56"/>
      <c r="T69" s="56"/>
      <c r="U69" s="56"/>
      <c r="V69" s="69"/>
    </row>
    <row r="70" spans="1:22" ht="16.5" customHeight="1" thickBot="1">
      <c r="A70" s="52"/>
      <c r="B70" s="43"/>
      <c r="C70" s="82" t="s">
        <v>1335</v>
      </c>
      <c r="D70" s="73">
        <v>825000</v>
      </c>
      <c r="E70" s="72" t="s">
        <v>1336</v>
      </c>
      <c r="F70" s="68"/>
      <c r="G70" s="68">
        <v>2324006</v>
      </c>
      <c r="H70" s="394" t="s">
        <v>711</v>
      </c>
      <c r="I70" s="416">
        <v>80000</v>
      </c>
      <c r="J70" s="44">
        <f t="shared" si="17"/>
        <v>14400</v>
      </c>
      <c r="K70" s="56"/>
      <c r="L70" s="56"/>
      <c r="M70" s="56"/>
      <c r="N70" s="56"/>
      <c r="O70" s="56" t="s">
        <v>1337</v>
      </c>
      <c r="P70" s="56"/>
      <c r="Q70" s="56" t="s">
        <v>839</v>
      </c>
      <c r="R70" s="56"/>
      <c r="S70" s="56"/>
      <c r="T70" s="56"/>
      <c r="U70" s="56"/>
      <c r="V70" s="69"/>
    </row>
    <row r="71" spans="1:22" ht="15.75" customHeight="1" thickBot="1">
      <c r="A71" s="52"/>
      <c r="B71" s="43"/>
      <c r="C71" s="82" t="s">
        <v>1338</v>
      </c>
      <c r="D71" s="73">
        <v>1735000</v>
      </c>
      <c r="E71" s="72" t="s">
        <v>1339</v>
      </c>
      <c r="F71" s="68"/>
      <c r="G71" s="68">
        <v>2425002</v>
      </c>
      <c r="H71" s="393" t="s">
        <v>665</v>
      </c>
      <c r="I71" s="158">
        <v>303625</v>
      </c>
      <c r="J71" s="148"/>
      <c r="K71" s="125">
        <v>303625</v>
      </c>
      <c r="L71" s="56"/>
      <c r="M71" s="56"/>
      <c r="N71" s="56"/>
      <c r="O71" s="56" t="s">
        <v>1340</v>
      </c>
      <c r="P71" s="56" t="s">
        <v>838</v>
      </c>
      <c r="Q71" s="56" t="s">
        <v>973</v>
      </c>
      <c r="R71" s="56"/>
      <c r="S71" s="56"/>
      <c r="T71" s="56"/>
      <c r="U71" s="56"/>
      <c r="V71" s="69"/>
    </row>
    <row r="72" spans="1:22" ht="16.5" customHeight="1" thickBot="1">
      <c r="A72" s="52"/>
      <c r="B72" s="43"/>
      <c r="C72" s="82" t="s">
        <v>1341</v>
      </c>
      <c r="D72" s="73">
        <v>1400000</v>
      </c>
      <c r="E72" s="72" t="s">
        <v>1342</v>
      </c>
      <c r="F72" s="68"/>
      <c r="G72" s="68">
        <v>2425003</v>
      </c>
      <c r="H72" s="113" t="s">
        <v>764</v>
      </c>
      <c r="I72" s="160">
        <v>240000</v>
      </c>
      <c r="J72" s="56"/>
      <c r="K72" s="56"/>
      <c r="L72" s="56"/>
      <c r="M72" s="56"/>
      <c r="N72" s="56"/>
      <c r="O72" s="56" t="s">
        <v>1340</v>
      </c>
      <c r="P72" s="56" t="s">
        <v>838</v>
      </c>
      <c r="Q72" s="56" t="s">
        <v>973</v>
      </c>
      <c r="R72" s="56"/>
      <c r="S72" s="56"/>
      <c r="T72" s="56"/>
      <c r="U72" s="56"/>
      <c r="V72" s="69"/>
    </row>
    <row r="73" spans="1:22" ht="15.75" customHeight="1" thickBot="1">
      <c r="A73" s="52"/>
      <c r="B73" s="43"/>
      <c r="C73" s="82" t="s">
        <v>1343</v>
      </c>
      <c r="D73" s="73">
        <v>2300000</v>
      </c>
      <c r="E73" s="72" t="s">
        <v>1344</v>
      </c>
      <c r="F73" s="68"/>
      <c r="G73" s="68">
        <v>2425006</v>
      </c>
      <c r="H73" s="156" t="s">
        <v>1345</v>
      </c>
      <c r="I73" s="117">
        <v>320000</v>
      </c>
      <c r="J73" s="56"/>
      <c r="K73" s="56"/>
      <c r="L73" s="56"/>
      <c r="M73" s="56"/>
      <c r="N73" s="56"/>
      <c r="O73" s="56" t="s">
        <v>1346</v>
      </c>
      <c r="P73" s="56" t="s">
        <v>838</v>
      </c>
      <c r="Q73" s="56" t="s">
        <v>973</v>
      </c>
      <c r="R73" s="56"/>
      <c r="S73" s="56"/>
      <c r="T73" s="56"/>
      <c r="U73" s="56"/>
      <c r="V73" s="69"/>
    </row>
    <row r="74" spans="1:22" ht="16.5" customHeight="1" thickBot="1">
      <c r="A74" s="52"/>
      <c r="B74" s="43"/>
      <c r="C74" s="82" t="s">
        <v>1341</v>
      </c>
      <c r="D74" s="73">
        <v>1400000</v>
      </c>
      <c r="E74" s="72" t="s">
        <v>1342</v>
      </c>
      <c r="F74" s="68"/>
      <c r="G74" s="68">
        <v>2425008</v>
      </c>
      <c r="H74" s="113" t="s">
        <v>765</v>
      </c>
      <c r="I74" s="160">
        <v>280000</v>
      </c>
      <c r="J74" s="56"/>
      <c r="K74" s="56"/>
      <c r="L74" s="56"/>
      <c r="M74" s="56"/>
      <c r="N74" s="56"/>
      <c r="O74" s="151" t="s">
        <v>989</v>
      </c>
      <c r="P74" s="56" t="s">
        <v>988</v>
      </c>
      <c r="Q74" s="56" t="s">
        <v>973</v>
      </c>
      <c r="R74" s="56"/>
      <c r="S74" s="56"/>
      <c r="T74" s="56"/>
      <c r="U74" s="56"/>
      <c r="V74" s="69"/>
    </row>
    <row r="75" spans="1:22" ht="15.75" customHeight="1" thickBot="1">
      <c r="A75" s="52"/>
      <c r="B75" s="43"/>
      <c r="C75" s="82" t="s">
        <v>1343</v>
      </c>
      <c r="D75" s="73">
        <v>2300000</v>
      </c>
      <c r="E75" s="72" t="s">
        <v>1344</v>
      </c>
      <c r="F75" s="68"/>
      <c r="G75" s="68">
        <v>2425009</v>
      </c>
      <c r="H75" s="156" t="s">
        <v>1347</v>
      </c>
      <c r="I75" s="117">
        <v>80000</v>
      </c>
      <c r="J75" s="56"/>
      <c r="K75" s="56"/>
      <c r="L75" s="56"/>
      <c r="M75" s="56"/>
      <c r="N75" s="56"/>
      <c r="O75" s="56" t="s">
        <v>1348</v>
      </c>
      <c r="P75" s="56"/>
      <c r="Q75" s="56" t="s">
        <v>973</v>
      </c>
      <c r="R75" s="56"/>
      <c r="S75" s="56"/>
      <c r="T75" s="56"/>
      <c r="U75" s="56"/>
      <c r="V75" s="69"/>
    </row>
    <row r="76" spans="1:22" ht="15.75" customHeight="1" thickBot="1">
      <c r="A76" s="52"/>
      <c r="B76" s="43"/>
      <c r="C76" s="82" t="s">
        <v>1349</v>
      </c>
      <c r="D76" s="73">
        <v>600000</v>
      </c>
      <c r="E76" s="72" t="s">
        <v>1350</v>
      </c>
      <c r="F76" s="68"/>
      <c r="G76" s="68">
        <v>2425013</v>
      </c>
      <c r="H76" s="156" t="s">
        <v>1351</v>
      </c>
      <c r="I76" s="117">
        <v>60000</v>
      </c>
      <c r="J76" s="56"/>
      <c r="K76" s="56"/>
      <c r="L76" s="56"/>
      <c r="M76" s="56"/>
      <c r="N76" s="56"/>
      <c r="O76" s="56" t="s">
        <v>993</v>
      </c>
      <c r="P76" s="56" t="s">
        <v>988</v>
      </c>
      <c r="Q76" s="56" t="s">
        <v>973</v>
      </c>
      <c r="R76" s="56"/>
      <c r="S76" s="56"/>
      <c r="T76" s="56"/>
      <c r="U76" s="56"/>
      <c r="V76" s="69"/>
    </row>
    <row r="77" spans="1:22" ht="16.5" customHeight="1" thickBot="1">
      <c r="A77" s="52"/>
      <c r="B77" s="43"/>
      <c r="C77" s="82" t="s">
        <v>1319</v>
      </c>
      <c r="D77" s="73">
        <v>1250000</v>
      </c>
      <c r="E77" s="72" t="s">
        <v>1320</v>
      </c>
      <c r="F77" s="68"/>
      <c r="G77" s="68">
        <v>2425014</v>
      </c>
      <c r="H77" s="164" t="s">
        <v>765</v>
      </c>
      <c r="I77" s="165">
        <v>250000</v>
      </c>
      <c r="J77" s="44">
        <f>I77*18%</f>
        <v>45000</v>
      </c>
      <c r="K77" s="44">
        <f>I77*10%</f>
        <v>25000</v>
      </c>
      <c r="L77" s="49"/>
      <c r="M77" s="49"/>
      <c r="N77" s="44">
        <f>I77+J77</f>
        <v>295000</v>
      </c>
      <c r="O77" s="49" t="s">
        <v>1352</v>
      </c>
      <c r="P77" s="49" t="s">
        <v>988</v>
      </c>
      <c r="Q77" s="49" t="s">
        <v>973</v>
      </c>
      <c r="R77" s="44">
        <f>N77-K77</f>
        <v>270000</v>
      </c>
      <c r="S77" s="56"/>
      <c r="T77" s="56"/>
      <c r="U77" s="56"/>
      <c r="V77" s="69"/>
    </row>
    <row r="78" spans="1:22" ht="16.5" customHeight="1" thickBot="1">
      <c r="A78" s="52"/>
      <c r="B78" s="43"/>
      <c r="C78" s="82" t="s">
        <v>1341</v>
      </c>
      <c r="D78" s="73">
        <v>1400000</v>
      </c>
      <c r="E78" s="72" t="s">
        <v>1342</v>
      </c>
      <c r="F78" s="68"/>
      <c r="G78" s="68">
        <v>2425015</v>
      </c>
      <c r="H78" s="392" t="s">
        <v>766</v>
      </c>
      <c r="I78" s="197">
        <v>145000</v>
      </c>
      <c r="J78" s="56"/>
      <c r="K78" s="56"/>
      <c r="L78" s="56"/>
      <c r="M78" s="56"/>
      <c r="N78" s="56"/>
      <c r="O78" s="56" t="s">
        <v>1352</v>
      </c>
      <c r="P78" s="56"/>
      <c r="Q78" s="56" t="s">
        <v>973</v>
      </c>
      <c r="R78" s="56"/>
      <c r="S78" s="56"/>
      <c r="T78" s="56"/>
      <c r="U78" s="56"/>
      <c r="V78" s="69"/>
    </row>
    <row r="79" spans="1:22" ht="30.75" customHeight="1" thickBot="1">
      <c r="A79" s="38"/>
      <c r="B79" s="84"/>
      <c r="C79" s="58" t="s">
        <v>1289</v>
      </c>
      <c r="D79" s="44">
        <v>1500000</v>
      </c>
      <c r="E79" s="75" t="s">
        <v>1290</v>
      </c>
      <c r="F79" s="53"/>
      <c r="G79" s="70">
        <v>2425016</v>
      </c>
      <c r="H79" s="181" t="s">
        <v>1353</v>
      </c>
      <c r="I79" s="133">
        <f>600000/8</f>
        <v>75000</v>
      </c>
      <c r="J79" s="44">
        <f>I79*18%</f>
        <v>13500</v>
      </c>
      <c r="K79" s="44">
        <f>I79*10%</f>
        <v>7500</v>
      </c>
      <c r="L79" s="49"/>
      <c r="M79" s="49"/>
      <c r="N79" s="44">
        <f>I79+J79</f>
        <v>88500</v>
      </c>
      <c r="O79" s="49" t="s">
        <v>1352</v>
      </c>
      <c r="P79" s="49"/>
      <c r="Q79" s="49" t="s">
        <v>973</v>
      </c>
      <c r="R79" s="44">
        <f>N79-K79</f>
        <v>81000</v>
      </c>
      <c r="S79" s="47"/>
      <c r="T79" s="47"/>
      <c r="U79" s="47"/>
      <c r="V79" s="54"/>
    </row>
    <row r="80" spans="1:22" ht="30.75" customHeight="1" thickBot="1">
      <c r="A80" s="38"/>
      <c r="B80" s="84"/>
      <c r="C80" s="58" t="s">
        <v>1293</v>
      </c>
      <c r="D80" s="44">
        <v>1500000</v>
      </c>
      <c r="E80" s="75" t="s">
        <v>1290</v>
      </c>
      <c r="F80" s="53"/>
      <c r="G80" s="70">
        <v>2425017</v>
      </c>
      <c r="H80" s="181" t="s">
        <v>1353</v>
      </c>
      <c r="I80" s="133">
        <f>400000/8</f>
        <v>50000</v>
      </c>
      <c r="J80" s="44">
        <f>I80*18%</f>
        <v>9000</v>
      </c>
      <c r="K80" s="44">
        <f>I80*10%</f>
        <v>5000</v>
      </c>
      <c r="L80" s="49"/>
      <c r="M80" s="49"/>
      <c r="N80" s="44">
        <f>I80+J80</f>
        <v>59000</v>
      </c>
      <c r="O80" s="49" t="s">
        <v>1352</v>
      </c>
      <c r="P80" s="49"/>
      <c r="Q80" s="49" t="s">
        <v>973</v>
      </c>
      <c r="R80" s="44">
        <f>N80-K80</f>
        <v>54000</v>
      </c>
      <c r="S80" s="47"/>
      <c r="T80" s="47"/>
      <c r="U80" s="47"/>
      <c r="V80" s="54"/>
    </row>
    <row r="81" spans="1:24" ht="15.75" customHeight="1" thickBot="1">
      <c r="A81" s="52"/>
      <c r="B81" s="43"/>
      <c r="C81" s="82" t="s">
        <v>1354</v>
      </c>
      <c r="D81" s="73">
        <v>5500000</v>
      </c>
      <c r="E81" s="72" t="s">
        <v>1355</v>
      </c>
      <c r="F81" s="68"/>
      <c r="G81" s="68">
        <v>2425018</v>
      </c>
      <c r="H81" s="155" t="s">
        <v>711</v>
      </c>
      <c r="I81" s="159">
        <v>1100000</v>
      </c>
      <c r="J81" s="56"/>
      <c r="K81" s="56"/>
      <c r="L81" s="56"/>
      <c r="M81" s="56"/>
      <c r="N81" s="56"/>
      <c r="O81" s="56" t="s">
        <v>1356</v>
      </c>
      <c r="P81" s="56"/>
      <c r="Q81" s="56" t="s">
        <v>973</v>
      </c>
      <c r="R81" s="56"/>
      <c r="S81" s="56"/>
      <c r="T81" s="56"/>
      <c r="U81" s="56"/>
      <c r="V81" s="69"/>
    </row>
    <row r="82" spans="1:24" ht="15.75" customHeight="1" thickBot="1">
      <c r="A82" s="52"/>
      <c r="B82" s="43"/>
      <c r="C82" s="82" t="s">
        <v>1357</v>
      </c>
      <c r="D82" s="73">
        <v>800000</v>
      </c>
      <c r="E82" s="72" t="s">
        <v>1358</v>
      </c>
      <c r="F82" s="68"/>
      <c r="G82" s="68">
        <v>2425019</v>
      </c>
      <c r="H82" s="156" t="s">
        <v>1359</v>
      </c>
      <c r="I82" s="117">
        <v>80000</v>
      </c>
      <c r="J82" s="56"/>
      <c r="K82" s="56"/>
      <c r="L82" s="56"/>
      <c r="M82" s="56"/>
      <c r="N82" s="56"/>
      <c r="O82" s="56" t="s">
        <v>913</v>
      </c>
      <c r="P82" s="56"/>
      <c r="Q82" s="69" t="s">
        <v>839</v>
      </c>
      <c r="R82" s="52"/>
      <c r="S82" s="52"/>
      <c r="T82" s="52"/>
      <c r="U82" s="52"/>
      <c r="V82" s="52"/>
    </row>
    <row r="83" spans="1:24" ht="30.75" customHeight="1" thickBot="1">
      <c r="A83" s="52"/>
      <c r="B83" s="43"/>
      <c r="C83" s="82" t="s">
        <v>1357</v>
      </c>
      <c r="D83" s="73">
        <v>800000</v>
      </c>
      <c r="E83" s="72" t="s">
        <v>1358</v>
      </c>
      <c r="F83" s="68"/>
      <c r="G83" s="68">
        <v>2425020</v>
      </c>
      <c r="H83" s="157" t="s">
        <v>1360</v>
      </c>
      <c r="I83" s="117">
        <v>160000</v>
      </c>
      <c r="J83" s="56"/>
      <c r="K83" s="56"/>
      <c r="L83" s="56"/>
      <c r="M83" s="56"/>
      <c r="N83" s="56"/>
      <c r="O83" s="56" t="s">
        <v>1361</v>
      </c>
      <c r="P83" s="56" t="s">
        <v>988</v>
      </c>
      <c r="Q83" s="56" t="s">
        <v>973</v>
      </c>
      <c r="R83" s="56"/>
      <c r="S83" s="56"/>
      <c r="T83" s="56"/>
      <c r="U83" s="56"/>
      <c r="V83" s="69"/>
    </row>
    <row r="84" spans="1:24" ht="29.25" customHeight="1" thickBot="1">
      <c r="A84" s="52"/>
      <c r="B84" s="43"/>
      <c r="C84" s="82" t="s">
        <v>1362</v>
      </c>
      <c r="D84" s="73">
        <v>3300000</v>
      </c>
      <c r="E84" s="72" t="s">
        <v>1363</v>
      </c>
      <c r="F84" s="68"/>
      <c r="G84" s="68">
        <v>2425021</v>
      </c>
      <c r="H84" s="155" t="s">
        <v>1364</v>
      </c>
      <c r="I84" s="117">
        <v>200000</v>
      </c>
      <c r="J84" s="56"/>
      <c r="K84" s="56"/>
      <c r="L84" s="56"/>
      <c r="M84" s="56"/>
      <c r="N84" s="56"/>
      <c r="O84" s="56" t="s">
        <v>1365</v>
      </c>
      <c r="P84" s="56"/>
      <c r="Q84" s="56" t="s">
        <v>973</v>
      </c>
      <c r="R84" s="56"/>
      <c r="S84" s="56"/>
      <c r="T84" s="56"/>
      <c r="U84" s="56"/>
      <c r="V84" s="69"/>
    </row>
    <row r="85" spans="1:24" ht="15.75" customHeight="1" thickBot="1">
      <c r="A85" s="52"/>
      <c r="B85" s="43"/>
      <c r="C85" s="82" t="s">
        <v>1362</v>
      </c>
      <c r="D85" s="73">
        <v>3300000</v>
      </c>
      <c r="E85" s="72" t="s">
        <v>1363</v>
      </c>
      <c r="F85" s="68"/>
      <c r="G85" s="68">
        <v>2425021</v>
      </c>
      <c r="H85" s="155" t="s">
        <v>1366</v>
      </c>
      <c r="I85" s="117">
        <v>200000</v>
      </c>
      <c r="J85" s="56"/>
      <c r="K85" s="56"/>
      <c r="L85" s="56"/>
      <c r="M85" s="56"/>
      <c r="N85" s="56"/>
      <c r="O85" s="56" t="s">
        <v>1365</v>
      </c>
      <c r="P85" s="56"/>
      <c r="Q85" s="56" t="s">
        <v>973</v>
      </c>
      <c r="R85" s="56"/>
      <c r="S85" s="56"/>
      <c r="T85" s="56"/>
      <c r="U85" s="56"/>
      <c r="V85" s="69"/>
    </row>
    <row r="86" spans="1:24" ht="15.75" customHeight="1" thickBot="1">
      <c r="A86" s="52"/>
      <c r="B86" s="43"/>
      <c r="C86" s="82" t="s">
        <v>1367</v>
      </c>
      <c r="D86" s="73">
        <v>1500000</v>
      </c>
      <c r="E86" s="72" t="s">
        <v>1368</v>
      </c>
      <c r="F86" s="68"/>
      <c r="G86" s="68">
        <v>2425022</v>
      </c>
      <c r="H86" s="156" t="s">
        <v>1369</v>
      </c>
      <c r="I86" s="179">
        <f>D86*15%*0.65</f>
        <v>146250</v>
      </c>
      <c r="J86" s="56"/>
      <c r="K86" s="56"/>
      <c r="L86" s="56"/>
      <c r="M86" s="56"/>
      <c r="N86" s="56"/>
      <c r="O86" s="56" t="s">
        <v>1370</v>
      </c>
      <c r="P86" s="56"/>
      <c r="Q86" s="56" t="s">
        <v>973</v>
      </c>
      <c r="R86" s="56"/>
      <c r="S86" s="56"/>
      <c r="T86" s="56"/>
      <c r="U86" s="56"/>
      <c r="V86" s="69"/>
      <c r="W86" s="52"/>
      <c r="X86" s="52"/>
    </row>
    <row r="87" spans="1:24" ht="30.75" customHeight="1" thickBot="1">
      <c r="A87" s="52"/>
      <c r="B87" s="43"/>
      <c r="C87" s="82" t="s">
        <v>1357</v>
      </c>
      <c r="D87" s="73">
        <v>800000</v>
      </c>
      <c r="E87" s="72" t="s">
        <v>1358</v>
      </c>
      <c r="F87" s="68"/>
      <c r="G87" s="68">
        <v>2425023</v>
      </c>
      <c r="H87" s="77" t="s">
        <v>1371</v>
      </c>
      <c r="I87" s="190">
        <f>80000*3.5</f>
        <v>280000</v>
      </c>
      <c r="J87" s="56"/>
      <c r="K87" s="56"/>
      <c r="L87" s="56"/>
      <c r="M87" s="56"/>
      <c r="N87" s="56"/>
      <c r="O87" s="56" t="s">
        <v>998</v>
      </c>
      <c r="P87" s="56" t="s">
        <v>1372</v>
      </c>
      <c r="Q87" s="56" t="s">
        <v>973</v>
      </c>
      <c r="R87" s="163"/>
      <c r="S87" s="56"/>
      <c r="T87" s="56"/>
      <c r="U87" s="56"/>
      <c r="V87" s="69"/>
      <c r="W87" s="52"/>
      <c r="X87" s="52"/>
    </row>
    <row r="88" spans="1:24" ht="15.75" customHeight="1" thickBot="1">
      <c r="A88" s="52"/>
      <c r="B88" s="43"/>
      <c r="C88" s="82" t="s">
        <v>1373</v>
      </c>
      <c r="D88" s="73">
        <v>900000</v>
      </c>
      <c r="E88" s="72" t="s">
        <v>1374</v>
      </c>
      <c r="F88" s="68"/>
      <c r="G88" s="68">
        <v>2425024</v>
      </c>
      <c r="H88" s="196" t="s">
        <v>653</v>
      </c>
      <c r="I88" s="190">
        <v>135000</v>
      </c>
      <c r="J88" s="56"/>
      <c r="K88" s="56"/>
      <c r="L88" s="56"/>
      <c r="M88" s="56"/>
      <c r="N88" s="56"/>
      <c r="O88" s="56" t="s">
        <v>1375</v>
      </c>
      <c r="P88" s="56"/>
      <c r="Q88" s="56" t="s">
        <v>973</v>
      </c>
      <c r="R88" s="420">
        <f>I88+J88-(I88*0.1)</f>
        <v>121500</v>
      </c>
      <c r="S88" s="56"/>
      <c r="T88" s="56"/>
      <c r="U88" s="56"/>
      <c r="V88" s="69"/>
      <c r="W88" s="52"/>
      <c r="X88" s="52"/>
    </row>
    <row r="89" spans="1:24" ht="15.75" customHeight="1" thickBot="1">
      <c r="A89" s="52"/>
      <c r="B89" s="43"/>
      <c r="C89" s="82" t="s">
        <v>1376</v>
      </c>
      <c r="D89" s="73">
        <v>600000</v>
      </c>
      <c r="E89" s="72" t="s">
        <v>1374</v>
      </c>
      <c r="F89" s="68"/>
      <c r="G89" s="68">
        <v>2425024</v>
      </c>
      <c r="H89" s="196" t="s">
        <v>1377</v>
      </c>
      <c r="I89" s="190">
        <v>250000</v>
      </c>
      <c r="J89" s="56"/>
      <c r="K89" s="56"/>
      <c r="L89" s="56"/>
      <c r="M89" s="56"/>
      <c r="N89" s="56"/>
      <c r="O89" s="56" t="s">
        <v>1375</v>
      </c>
      <c r="P89" s="56"/>
      <c r="Q89" s="56" t="s">
        <v>973</v>
      </c>
      <c r="R89" s="56"/>
      <c r="S89" s="56"/>
      <c r="T89" s="56"/>
      <c r="U89" s="56"/>
      <c r="V89" s="69"/>
      <c r="W89" s="52"/>
      <c r="X89" s="52"/>
    </row>
    <row r="90" spans="1:24" ht="16.5" customHeight="1" thickBot="1">
      <c r="A90" s="52"/>
      <c r="B90" s="43"/>
      <c r="C90" s="82" t="s">
        <v>1341</v>
      </c>
      <c r="D90" s="73">
        <v>1400000</v>
      </c>
      <c r="E90" s="72" t="s">
        <v>1342</v>
      </c>
      <c r="F90" s="68"/>
      <c r="G90" s="68">
        <v>2425027</v>
      </c>
      <c r="H90" s="37" t="s">
        <v>767</v>
      </c>
      <c r="I90" s="198">
        <v>145000</v>
      </c>
      <c r="J90" s="56"/>
      <c r="K90" s="56"/>
      <c r="L90" s="56"/>
      <c r="M90" s="56"/>
      <c r="N90" s="56"/>
      <c r="O90" s="56" t="s">
        <v>1378</v>
      </c>
      <c r="P90" s="56"/>
      <c r="Q90" s="56" t="s">
        <v>973</v>
      </c>
      <c r="R90" s="56"/>
      <c r="S90" s="56"/>
      <c r="T90" s="56"/>
      <c r="U90" s="56"/>
      <c r="V90" s="69"/>
      <c r="W90" s="52"/>
      <c r="X90" s="52"/>
    </row>
    <row r="91" spans="1:24" ht="15.75" customHeight="1" thickBot="1">
      <c r="A91" s="52"/>
      <c r="B91" s="43"/>
      <c r="C91" s="82" t="s">
        <v>1354</v>
      </c>
      <c r="D91" s="73">
        <v>5500000</v>
      </c>
      <c r="E91" s="72" t="s">
        <v>1355</v>
      </c>
      <c r="F91" s="68"/>
      <c r="G91" s="68">
        <v>2425032</v>
      </c>
      <c r="H91" s="208" t="s">
        <v>1379</v>
      </c>
      <c r="I91" s="213">
        <f>825000*0.25</f>
        <v>206250</v>
      </c>
      <c r="J91" s="56"/>
      <c r="K91" s="56"/>
      <c r="L91" s="56"/>
      <c r="M91" s="56"/>
      <c r="N91" s="56"/>
      <c r="O91" s="56" t="s">
        <v>1380</v>
      </c>
      <c r="P91" s="56"/>
      <c r="Q91" s="56" t="s">
        <v>973</v>
      </c>
      <c r="R91" s="56"/>
      <c r="S91" s="56"/>
      <c r="T91" s="56"/>
      <c r="U91" s="56"/>
      <c r="V91" s="69"/>
      <c r="W91" s="52"/>
      <c r="X91" s="52"/>
    </row>
    <row r="92" spans="1:24" ht="15.75" customHeight="1" thickBot="1">
      <c r="A92" s="52"/>
      <c r="B92" s="43"/>
      <c r="C92" s="82" t="s">
        <v>1367</v>
      </c>
      <c r="D92" s="73">
        <v>1500000</v>
      </c>
      <c r="E92" s="72" t="s">
        <v>1368</v>
      </c>
      <c r="F92" s="68"/>
      <c r="G92" s="68">
        <v>2425033</v>
      </c>
      <c r="H92" s="79" t="s">
        <v>1381</v>
      </c>
      <c r="I92" s="190">
        <f>D92*15%</f>
        <v>225000</v>
      </c>
      <c r="J92" s="56"/>
      <c r="K92" s="56"/>
      <c r="L92" s="56"/>
      <c r="M92" s="56"/>
      <c r="N92" s="56"/>
      <c r="O92" s="56" t="s">
        <v>1382</v>
      </c>
      <c r="P92" s="56"/>
      <c r="Q92" s="56" t="s">
        <v>973</v>
      </c>
      <c r="R92" s="56"/>
      <c r="S92" s="56"/>
      <c r="T92" s="56"/>
      <c r="U92" s="56"/>
      <c r="V92" s="69"/>
      <c r="W92" s="52"/>
      <c r="X92" s="52"/>
    </row>
    <row r="93" spans="1:24" ht="25.5" customHeight="1">
      <c r="A93" s="52"/>
      <c r="B93" s="43"/>
      <c r="C93" s="82" t="s">
        <v>1338</v>
      </c>
      <c r="D93" s="73">
        <v>1735000</v>
      </c>
      <c r="E93" s="72" t="s">
        <v>1339</v>
      </c>
      <c r="F93" s="68"/>
      <c r="G93" s="68">
        <v>2425034</v>
      </c>
      <c r="H93" s="211" t="s">
        <v>1383</v>
      </c>
      <c r="I93" s="217">
        <f>347000*0.4</f>
        <v>138800</v>
      </c>
      <c r="J93" s="56" t="s">
        <v>1000</v>
      </c>
      <c r="K93" s="56" t="s">
        <v>1384</v>
      </c>
      <c r="L93" s="56" t="s">
        <v>973</v>
      </c>
      <c r="M93" s="56"/>
      <c r="N93" s="56"/>
      <c r="O93" s="56" t="s">
        <v>1385</v>
      </c>
      <c r="P93" s="56"/>
      <c r="Q93" s="56" t="s">
        <v>973</v>
      </c>
      <c r="R93" s="140"/>
      <c r="S93" s="25"/>
      <c r="T93" s="25"/>
      <c r="U93" s="25"/>
      <c r="V93" s="33"/>
      <c r="W93" s="52"/>
      <c r="X93" s="52"/>
    </row>
    <row r="94" spans="1:24">
      <c r="A94" s="52"/>
      <c r="B94" s="43"/>
      <c r="C94" s="82" t="s">
        <v>1338</v>
      </c>
      <c r="D94" s="73">
        <v>1735000</v>
      </c>
      <c r="E94" s="72" t="s">
        <v>1339</v>
      </c>
      <c r="F94" s="68"/>
      <c r="G94" s="68">
        <v>2425034</v>
      </c>
      <c r="H94" s="211" t="s">
        <v>1386</v>
      </c>
      <c r="I94" s="217">
        <v>303625</v>
      </c>
      <c r="J94" s="148"/>
      <c r="K94" s="125">
        <v>303625</v>
      </c>
      <c r="L94" s="56"/>
      <c r="M94" s="56"/>
      <c r="N94" s="56"/>
      <c r="O94" s="56" t="s">
        <v>1385</v>
      </c>
      <c r="P94" s="56" t="s">
        <v>1384</v>
      </c>
      <c r="Q94" s="56" t="s">
        <v>973</v>
      </c>
      <c r="R94" s="56"/>
      <c r="S94" s="56"/>
      <c r="T94" s="56"/>
      <c r="U94" s="56"/>
      <c r="V94" s="69"/>
    </row>
    <row r="95" spans="1:24" ht="30" customHeight="1">
      <c r="A95" s="52"/>
      <c r="B95" s="43"/>
      <c r="C95" s="82" t="s">
        <v>1357</v>
      </c>
      <c r="D95" s="73">
        <v>800000</v>
      </c>
      <c r="E95" s="72" t="s">
        <v>1358</v>
      </c>
      <c r="F95" s="68"/>
      <c r="G95" s="68">
        <v>2425035</v>
      </c>
      <c r="H95" s="385" t="s">
        <v>1387</v>
      </c>
      <c r="I95" s="217">
        <f>80000*3.5</f>
        <v>280000</v>
      </c>
      <c r="J95" s="56"/>
      <c r="K95" s="56"/>
      <c r="L95" s="56"/>
      <c r="M95" s="56"/>
      <c r="N95" s="56"/>
      <c r="O95" s="56" t="s">
        <v>1004</v>
      </c>
      <c r="P95" s="56"/>
      <c r="Q95" s="56" t="s">
        <v>973</v>
      </c>
      <c r="R95" s="56"/>
      <c r="S95" s="56"/>
      <c r="T95" s="56"/>
      <c r="U95" s="56"/>
      <c r="V95" s="69"/>
    </row>
    <row r="96" spans="1:24" ht="15" customHeight="1">
      <c r="A96" s="52"/>
      <c r="B96" s="43"/>
      <c r="C96" s="82" t="s">
        <v>1388</v>
      </c>
      <c r="D96" s="73">
        <v>1000000</v>
      </c>
      <c r="E96" s="72"/>
      <c r="F96" s="68"/>
      <c r="G96" s="68">
        <v>2425036</v>
      </c>
      <c r="H96" s="383" t="s">
        <v>711</v>
      </c>
      <c r="I96" s="405">
        <v>147680</v>
      </c>
      <c r="J96" s="56"/>
      <c r="K96" s="56"/>
      <c r="L96" s="56"/>
      <c r="M96" s="56"/>
      <c r="N96" s="56"/>
      <c r="O96" s="56"/>
      <c r="P96" s="56"/>
      <c r="Q96" s="56" t="s">
        <v>973</v>
      </c>
      <c r="R96" s="224">
        <f>I96+(I96*0.18)-(I96*0.1)</f>
        <v>159494.39999999999</v>
      </c>
      <c r="S96" s="56">
        <f>R96</f>
        <v>159494.39999999999</v>
      </c>
      <c r="T96" s="56"/>
      <c r="U96" s="56"/>
      <c r="V96" s="69"/>
    </row>
    <row r="97" spans="1:24" ht="15" customHeight="1">
      <c r="A97" s="52"/>
      <c r="B97" s="43"/>
      <c r="C97" s="82" t="s">
        <v>1388</v>
      </c>
      <c r="D97" s="73">
        <v>1000000</v>
      </c>
      <c r="E97" s="72"/>
      <c r="F97" s="68"/>
      <c r="G97" s="68">
        <v>2425037</v>
      </c>
      <c r="H97" s="383" t="s">
        <v>711</v>
      </c>
      <c r="I97" s="405">
        <v>52320</v>
      </c>
      <c r="J97" s="56"/>
      <c r="K97" s="56"/>
      <c r="L97" s="56"/>
      <c r="M97" s="56"/>
      <c r="N97" s="56"/>
      <c r="O97" s="56"/>
      <c r="P97" s="56"/>
      <c r="Q97" s="56" t="s">
        <v>973</v>
      </c>
      <c r="R97" s="224">
        <f>I97+(I97*0.18)-(I97*0.1)</f>
        <v>56505.599999999999</v>
      </c>
      <c r="S97" s="56">
        <f>R97</f>
        <v>56505.599999999999</v>
      </c>
      <c r="T97" s="56"/>
      <c r="U97" s="56"/>
      <c r="V97" s="69"/>
    </row>
    <row r="98" spans="1:24" ht="45" customHeight="1">
      <c r="A98" s="38"/>
      <c r="B98" s="84"/>
      <c r="C98" s="58" t="s">
        <v>1289</v>
      </c>
      <c r="D98" s="44">
        <v>1500000</v>
      </c>
      <c r="E98" s="75" t="s">
        <v>1290</v>
      </c>
      <c r="F98" s="53"/>
      <c r="G98" s="70">
        <v>2425038</v>
      </c>
      <c r="H98" s="382" t="s">
        <v>1389</v>
      </c>
      <c r="I98" s="203">
        <v>75000</v>
      </c>
      <c r="J98" s="49" t="s">
        <v>1352</v>
      </c>
      <c r="K98" s="49"/>
      <c r="L98" s="49" t="s">
        <v>973</v>
      </c>
      <c r="M98" s="44">
        <v>81000</v>
      </c>
      <c r="N98" s="47"/>
      <c r="O98" s="47" t="s">
        <v>1031</v>
      </c>
      <c r="P98" s="47"/>
      <c r="Q98" s="56" t="s">
        <v>973</v>
      </c>
      <c r="R98" s="47"/>
      <c r="S98" s="47"/>
      <c r="T98" s="25"/>
      <c r="U98" s="25"/>
      <c r="V98" s="33"/>
    </row>
    <row r="99" spans="1:24" ht="45" customHeight="1">
      <c r="A99" s="38"/>
      <c r="B99" s="84"/>
      <c r="C99" s="58" t="s">
        <v>1293</v>
      </c>
      <c r="D99" s="44">
        <v>1500000</v>
      </c>
      <c r="E99" s="75" t="s">
        <v>1290</v>
      </c>
      <c r="F99" s="53"/>
      <c r="G99" s="70">
        <v>2425039</v>
      </c>
      <c r="H99" s="382" t="s">
        <v>1390</v>
      </c>
      <c r="I99" s="203">
        <v>50000</v>
      </c>
      <c r="J99" s="49" t="s">
        <v>1352</v>
      </c>
      <c r="K99" s="49"/>
      <c r="L99" s="49" t="s">
        <v>973</v>
      </c>
      <c r="M99" s="44">
        <v>54000</v>
      </c>
      <c r="N99" s="47"/>
      <c r="O99" s="47" t="s">
        <v>1031</v>
      </c>
      <c r="P99" s="47"/>
      <c r="Q99" s="56" t="s">
        <v>973</v>
      </c>
      <c r="R99" s="47"/>
      <c r="S99" s="47"/>
      <c r="T99" s="25"/>
      <c r="U99" s="25"/>
      <c r="V99" s="33"/>
    </row>
    <row r="100" spans="1:24" ht="30" customHeight="1">
      <c r="A100" s="38"/>
      <c r="B100" s="84"/>
      <c r="C100" s="58" t="s">
        <v>1293</v>
      </c>
      <c r="D100" s="44">
        <v>1500000</v>
      </c>
      <c r="E100" s="75" t="s">
        <v>1290</v>
      </c>
      <c r="F100" s="53"/>
      <c r="G100" s="70">
        <v>2425040</v>
      </c>
      <c r="H100" s="382" t="s">
        <v>1391</v>
      </c>
      <c r="I100" s="203">
        <v>50000</v>
      </c>
      <c r="J100" s="47" t="s">
        <v>1031</v>
      </c>
      <c r="K100" s="47"/>
      <c r="L100" s="56" t="s">
        <v>973</v>
      </c>
      <c r="M100" s="47"/>
      <c r="N100" s="47"/>
      <c r="O100" s="25" t="s">
        <v>1031</v>
      </c>
      <c r="P100" s="25"/>
      <c r="Q100" s="56" t="s">
        <v>973</v>
      </c>
      <c r="R100" s="25"/>
      <c r="S100" s="25"/>
      <c r="T100" s="25"/>
      <c r="U100" s="25"/>
      <c r="V100" s="33"/>
    </row>
    <row r="101" spans="1:24" ht="30" customHeight="1">
      <c r="A101" s="38"/>
      <c r="B101" s="84"/>
      <c r="C101" s="58" t="s">
        <v>1289</v>
      </c>
      <c r="D101" s="44">
        <v>1500000</v>
      </c>
      <c r="E101" s="91" t="s">
        <v>1290</v>
      </c>
      <c r="F101" s="84"/>
      <c r="G101" s="70">
        <v>2425041</v>
      </c>
      <c r="H101" s="382" t="s">
        <v>1391</v>
      </c>
      <c r="I101" s="44">
        <v>75000</v>
      </c>
      <c r="J101" s="47" t="s">
        <v>1031</v>
      </c>
      <c r="K101" s="47"/>
      <c r="L101" s="56" t="s">
        <v>973</v>
      </c>
      <c r="M101" s="47"/>
      <c r="N101" s="47"/>
      <c r="O101" s="25" t="s">
        <v>1031</v>
      </c>
      <c r="P101" s="25"/>
      <c r="Q101" s="56" t="s">
        <v>973</v>
      </c>
      <c r="R101" s="25"/>
      <c r="S101" s="25"/>
      <c r="T101" s="25"/>
      <c r="U101" s="25"/>
      <c r="V101" s="33"/>
    </row>
    <row r="102" spans="1:24">
      <c r="B102" s="182"/>
      <c r="C102" s="82" t="s">
        <v>1388</v>
      </c>
      <c r="D102" s="184"/>
      <c r="E102" s="185"/>
      <c r="F102" s="185"/>
      <c r="G102" s="186">
        <v>2425042</v>
      </c>
      <c r="H102" s="388" t="s">
        <v>608</v>
      </c>
      <c r="I102" s="184">
        <v>6540</v>
      </c>
      <c r="J102" s="56"/>
      <c r="K102" s="56"/>
      <c r="L102" s="56"/>
      <c r="M102" s="56"/>
      <c r="N102" s="56"/>
      <c r="O102" s="185" t="s">
        <v>1392</v>
      </c>
      <c r="P102" s="185"/>
      <c r="Q102" s="56" t="s">
        <v>973</v>
      </c>
      <c r="R102" s="224">
        <f>I102+(I102*0.18)-(I102*0.1)</f>
        <v>7063.2</v>
      </c>
      <c r="S102" s="56">
        <f>R102</f>
        <v>7063.2</v>
      </c>
      <c r="T102" s="185"/>
      <c r="U102" s="185"/>
      <c r="V102" s="193"/>
    </row>
    <row r="103" spans="1:24">
      <c r="B103" s="182"/>
      <c r="C103" s="82" t="s">
        <v>1388</v>
      </c>
      <c r="D103" s="184"/>
      <c r="E103" s="185"/>
      <c r="F103" s="185"/>
      <c r="G103" s="186">
        <v>2425043</v>
      </c>
      <c r="H103" s="388" t="s">
        <v>608</v>
      </c>
      <c r="I103" s="184">
        <f>25000-I102</f>
        <v>18460</v>
      </c>
      <c r="J103" s="56"/>
      <c r="K103" s="56"/>
      <c r="L103" s="56"/>
      <c r="M103" s="56"/>
      <c r="N103" s="56"/>
      <c r="O103" s="185" t="s">
        <v>1392</v>
      </c>
      <c r="P103" s="185"/>
      <c r="Q103" s="56" t="s">
        <v>973</v>
      </c>
      <c r="R103" s="224">
        <f>I103+(I103*0.18)-(I103*0.1)</f>
        <v>19936.8</v>
      </c>
      <c r="S103" s="56">
        <f>R103</f>
        <v>19936.8</v>
      </c>
      <c r="T103" s="185"/>
      <c r="U103" s="185"/>
      <c r="V103" s="193"/>
    </row>
    <row r="104" spans="1:24">
      <c r="B104" s="182"/>
      <c r="C104" s="82" t="s">
        <v>1388</v>
      </c>
      <c r="D104" s="184"/>
      <c r="E104" s="185"/>
      <c r="F104" s="185"/>
      <c r="G104" s="186">
        <v>2425044</v>
      </c>
      <c r="H104" s="388" t="s">
        <v>608</v>
      </c>
      <c r="I104" s="184">
        <v>6540</v>
      </c>
      <c r="J104" s="56"/>
      <c r="K104" s="56"/>
      <c r="L104" s="56"/>
      <c r="M104" s="56"/>
      <c r="N104" s="56"/>
      <c r="O104" s="185" t="s">
        <v>1392</v>
      </c>
      <c r="P104" s="185"/>
      <c r="Q104" s="56" t="s">
        <v>973</v>
      </c>
      <c r="R104" s="224">
        <f>I104+(I104*0.18)-(I104*0.1)</f>
        <v>7063.2</v>
      </c>
      <c r="S104" s="56">
        <f>R104</f>
        <v>7063.2</v>
      </c>
      <c r="T104" s="185"/>
      <c r="U104" s="185"/>
      <c r="V104" s="193"/>
    </row>
    <row r="105" spans="1:24">
      <c r="B105" s="182"/>
      <c r="C105" s="82" t="s">
        <v>1388</v>
      </c>
      <c r="D105" s="184"/>
      <c r="E105" s="185"/>
      <c r="F105" s="185"/>
      <c r="G105" s="186">
        <v>2425045</v>
      </c>
      <c r="H105" s="388" t="s">
        <v>608</v>
      </c>
      <c r="I105" s="184">
        <f>25000-I104</f>
        <v>18460</v>
      </c>
      <c r="J105" s="56"/>
      <c r="K105" s="56"/>
      <c r="L105" s="56"/>
      <c r="M105" s="56"/>
      <c r="N105" s="56"/>
      <c r="O105" s="185" t="s">
        <v>1392</v>
      </c>
      <c r="P105" s="185"/>
      <c r="Q105" s="56" t="s">
        <v>973</v>
      </c>
      <c r="R105" s="224">
        <f>I105+(I105*0.18)-(I105*0.1)</f>
        <v>19936.8</v>
      </c>
      <c r="S105" s="56">
        <f>R105</f>
        <v>19936.8</v>
      </c>
      <c r="T105" s="185"/>
      <c r="U105" s="185"/>
      <c r="V105" s="193"/>
    </row>
    <row r="106" spans="1:24" ht="15.75" customHeight="1">
      <c r="A106" s="52"/>
      <c r="B106" s="43"/>
      <c r="C106" s="82" t="s">
        <v>1393</v>
      </c>
      <c r="D106" s="73"/>
      <c r="E106" s="56" t="s">
        <v>1394</v>
      </c>
      <c r="F106" s="56"/>
      <c r="G106" s="56">
        <v>2425046</v>
      </c>
      <c r="H106" s="37" t="s">
        <v>618</v>
      </c>
      <c r="I106" s="18">
        <v>220000</v>
      </c>
      <c r="J106" s="56"/>
      <c r="K106" s="56"/>
      <c r="L106" s="56"/>
      <c r="M106" s="56"/>
      <c r="N106" s="56"/>
      <c r="O106" s="56" t="s">
        <v>1395</v>
      </c>
      <c r="P106" s="56"/>
      <c r="Q106" s="56" t="s">
        <v>973</v>
      </c>
      <c r="R106" s="56"/>
      <c r="S106" s="56"/>
      <c r="T106" s="56"/>
      <c r="U106" s="56"/>
      <c r="V106" s="69"/>
      <c r="W106" s="38"/>
      <c r="X106" s="38"/>
    </row>
    <row r="107" spans="1:24" ht="30" customHeight="1">
      <c r="A107" s="38"/>
      <c r="B107" s="84"/>
      <c r="C107" s="58" t="s">
        <v>1302</v>
      </c>
      <c r="D107" s="44">
        <v>1700000</v>
      </c>
      <c r="E107" s="91" t="s">
        <v>1303</v>
      </c>
      <c r="F107" s="47"/>
      <c r="G107" s="124">
        <v>2425047</v>
      </c>
      <c r="H107" s="396" t="s">
        <v>1396</v>
      </c>
      <c r="I107" s="149">
        <f>255000/2</f>
        <v>127500</v>
      </c>
      <c r="J107" s="44">
        <f>I107*18%</f>
        <v>22950</v>
      </c>
      <c r="K107" s="44">
        <f>I107*10%</f>
        <v>12750</v>
      </c>
      <c r="L107" s="49"/>
      <c r="M107" s="49"/>
      <c r="N107" s="44">
        <f>I107+J107</f>
        <v>150450</v>
      </c>
      <c r="O107" s="49" t="s">
        <v>1397</v>
      </c>
      <c r="P107" s="49" t="s">
        <v>909</v>
      </c>
      <c r="Q107" s="49" t="s">
        <v>973</v>
      </c>
      <c r="R107" s="44">
        <f>N107-K107</f>
        <v>137700</v>
      </c>
      <c r="S107" s="47">
        <v>137700</v>
      </c>
      <c r="T107" s="47"/>
      <c r="U107" s="47"/>
      <c r="V107" s="54">
        <v>0</v>
      </c>
      <c r="W107" s="38"/>
      <c r="X107" s="38"/>
    </row>
    <row r="108" spans="1:24" ht="45" customHeight="1">
      <c r="A108" s="38"/>
      <c r="B108" s="84"/>
      <c r="C108" s="58" t="s">
        <v>1307</v>
      </c>
      <c r="D108" s="44">
        <v>800000</v>
      </c>
      <c r="E108" s="91" t="s">
        <v>1303</v>
      </c>
      <c r="F108" s="47"/>
      <c r="G108" s="124">
        <v>2425047</v>
      </c>
      <c r="H108" s="396" t="s">
        <v>1398</v>
      </c>
      <c r="I108" s="44">
        <f>480000/2</f>
        <v>240000</v>
      </c>
      <c r="J108" s="44">
        <f>I108*18%</f>
        <v>43200</v>
      </c>
      <c r="K108" s="44">
        <f>I108*10%</f>
        <v>24000</v>
      </c>
      <c r="L108" s="49"/>
      <c r="M108" s="49"/>
      <c r="N108" s="44">
        <f>I108+J108</f>
        <v>283200</v>
      </c>
      <c r="O108" s="49" t="s">
        <v>1397</v>
      </c>
      <c r="P108" s="49" t="s">
        <v>1145</v>
      </c>
      <c r="Q108" s="49" t="s">
        <v>973</v>
      </c>
      <c r="R108" s="44">
        <f>N108-K108</f>
        <v>259200</v>
      </c>
      <c r="S108" s="47">
        <v>259200</v>
      </c>
      <c r="T108" s="47"/>
      <c r="U108" s="47"/>
      <c r="V108" s="54">
        <v>0</v>
      </c>
      <c r="W108" s="38"/>
      <c r="X108" s="38"/>
    </row>
    <row r="109" spans="1:24" ht="30" customHeight="1">
      <c r="A109" s="38"/>
      <c r="B109" s="84"/>
      <c r="C109" s="58" t="s">
        <v>1307</v>
      </c>
      <c r="D109" s="44">
        <v>800000</v>
      </c>
      <c r="E109" s="91" t="s">
        <v>1303</v>
      </c>
      <c r="F109" s="47"/>
      <c r="G109" s="70">
        <v>2425047</v>
      </c>
      <c r="H109" s="200" t="s">
        <v>1399</v>
      </c>
      <c r="I109" s="44">
        <v>240000</v>
      </c>
      <c r="J109" s="44">
        <f>I109*18%</f>
        <v>43200</v>
      </c>
      <c r="K109" s="44">
        <f>I109*10%</f>
        <v>24000</v>
      </c>
      <c r="L109" s="49"/>
      <c r="M109" s="49"/>
      <c r="N109" s="44">
        <f>I109+J109</f>
        <v>283200</v>
      </c>
      <c r="O109" s="49" t="s">
        <v>1397</v>
      </c>
      <c r="P109" s="49" t="s">
        <v>1145</v>
      </c>
      <c r="Q109" s="49" t="s">
        <v>973</v>
      </c>
      <c r="R109" s="44">
        <f>N109-K109</f>
        <v>259200</v>
      </c>
      <c r="S109" s="47">
        <v>259200</v>
      </c>
      <c r="T109" s="47"/>
      <c r="U109" s="47"/>
      <c r="V109" s="54">
        <v>0</v>
      </c>
      <c r="W109" s="38"/>
      <c r="X109" s="38"/>
    </row>
    <row r="110" spans="1:24">
      <c r="A110" s="52"/>
      <c r="B110" s="43"/>
      <c r="C110" s="82" t="s">
        <v>1400</v>
      </c>
      <c r="D110" s="73">
        <v>3500000</v>
      </c>
      <c r="E110" s="56" t="s">
        <v>1368</v>
      </c>
      <c r="F110" s="56"/>
      <c r="G110" s="68">
        <v>2425048</v>
      </c>
      <c r="H110" s="82" t="s">
        <v>1401</v>
      </c>
      <c r="I110" s="73">
        <f>350000/2</f>
        <v>175000</v>
      </c>
      <c r="J110" s="185">
        <f>I110*0.18</f>
        <v>31500</v>
      </c>
      <c r="K110" s="56"/>
      <c r="L110" s="56" t="s">
        <v>973</v>
      </c>
      <c r="M110" s="56"/>
      <c r="N110" s="56"/>
      <c r="O110" s="56" t="s">
        <v>1402</v>
      </c>
      <c r="P110" s="56"/>
      <c r="Q110" s="56" t="s">
        <v>973</v>
      </c>
      <c r="R110" s="56"/>
      <c r="S110" s="56"/>
      <c r="T110" s="56"/>
      <c r="U110" s="56"/>
      <c r="V110" s="69"/>
      <c r="W110" s="38"/>
      <c r="X110" s="38"/>
    </row>
    <row r="111" spans="1:24">
      <c r="B111" s="182"/>
      <c r="C111" s="183" t="s">
        <v>1403</v>
      </c>
      <c r="D111" s="184">
        <v>1800000</v>
      </c>
      <c r="E111" s="185" t="s">
        <v>1404</v>
      </c>
      <c r="F111" s="185"/>
      <c r="G111" s="185">
        <v>2425049</v>
      </c>
      <c r="H111" s="201" t="s">
        <v>618</v>
      </c>
      <c r="I111" s="202">
        <v>360000</v>
      </c>
      <c r="J111" s="56"/>
      <c r="K111" s="56"/>
      <c r="L111" s="56"/>
      <c r="M111" s="56"/>
      <c r="N111" s="56"/>
      <c r="O111" s="185" t="s">
        <v>1405</v>
      </c>
      <c r="P111" s="185"/>
      <c r="Q111" s="185" t="s">
        <v>973</v>
      </c>
      <c r="R111" s="185"/>
      <c r="S111" s="185"/>
      <c r="T111" s="185"/>
      <c r="U111" s="185"/>
      <c r="V111" s="193"/>
      <c r="W111" s="38"/>
      <c r="X111" s="38"/>
    </row>
    <row r="112" spans="1:24">
      <c r="B112" s="182"/>
      <c r="C112" s="183" t="s">
        <v>1403</v>
      </c>
      <c r="D112" s="184">
        <v>1800000</v>
      </c>
      <c r="E112" s="185" t="s">
        <v>1404</v>
      </c>
      <c r="F112" s="185"/>
      <c r="G112" s="185">
        <v>2425049</v>
      </c>
      <c r="H112" s="201" t="s">
        <v>1406</v>
      </c>
      <c r="I112" s="202">
        <v>180000</v>
      </c>
      <c r="J112" s="56"/>
      <c r="K112" s="56"/>
      <c r="L112" s="56"/>
      <c r="M112" s="56"/>
      <c r="N112" s="56"/>
      <c r="O112" s="185" t="s">
        <v>1405</v>
      </c>
      <c r="P112" s="185"/>
      <c r="Q112" s="185" t="s">
        <v>973</v>
      </c>
      <c r="R112" s="185"/>
      <c r="S112" s="185"/>
      <c r="T112" s="185"/>
      <c r="U112" s="185"/>
      <c r="V112" s="193"/>
      <c r="W112" s="38"/>
      <c r="X112" s="38"/>
    </row>
    <row r="113" spans="1:24">
      <c r="B113" s="182"/>
      <c r="C113" s="183" t="s">
        <v>1403</v>
      </c>
      <c r="D113" s="184">
        <v>1800000</v>
      </c>
      <c r="E113" s="185" t="s">
        <v>1404</v>
      </c>
      <c r="F113" s="185"/>
      <c r="G113" s="186">
        <v>2425049</v>
      </c>
      <c r="H113" s="201" t="s">
        <v>1407</v>
      </c>
      <c r="I113" s="202">
        <v>135000</v>
      </c>
      <c r="J113" s="56"/>
      <c r="K113" s="56"/>
      <c r="L113" s="56"/>
      <c r="M113" s="56"/>
      <c r="N113" s="56"/>
      <c r="O113" s="185" t="s">
        <v>1405</v>
      </c>
      <c r="P113" s="185"/>
      <c r="Q113" s="185" t="s">
        <v>973</v>
      </c>
      <c r="R113" s="185"/>
      <c r="S113" s="185"/>
      <c r="T113" s="185"/>
      <c r="U113" s="185"/>
      <c r="V113" s="193"/>
      <c r="W113" s="38"/>
      <c r="X113" s="38"/>
    </row>
    <row r="114" spans="1:24" ht="15" customHeight="1">
      <c r="A114" s="52"/>
      <c r="B114" s="43"/>
      <c r="C114" s="82" t="s">
        <v>1388</v>
      </c>
      <c r="D114" s="73">
        <v>1000000</v>
      </c>
      <c r="E114" s="56"/>
      <c r="F114" s="56"/>
      <c r="G114" s="68">
        <v>2425050</v>
      </c>
      <c r="H114" s="189" t="s">
        <v>763</v>
      </c>
      <c r="I114" s="191">
        <v>39240</v>
      </c>
      <c r="J114" s="56" t="s">
        <v>1408</v>
      </c>
      <c r="K114" s="56"/>
      <c r="L114" s="56"/>
      <c r="M114" s="56"/>
      <c r="N114" s="56"/>
      <c r="O114" s="56"/>
      <c r="P114" s="56"/>
      <c r="Q114" s="56" t="s">
        <v>973</v>
      </c>
      <c r="R114" s="56">
        <f>I114+(I114*0.18)-(I114*0.1)</f>
        <v>42379.199999999997</v>
      </c>
      <c r="S114" s="56">
        <f>R114</f>
        <v>42379.199999999997</v>
      </c>
      <c r="T114" s="25"/>
      <c r="U114" s="25"/>
      <c r="V114" s="33"/>
      <c r="W114" s="38"/>
      <c r="X114" s="38"/>
    </row>
    <row r="115" spans="1:24" ht="15" customHeight="1">
      <c r="A115" s="52"/>
      <c r="B115" s="43"/>
      <c r="C115" s="82" t="s">
        <v>1388</v>
      </c>
      <c r="D115" s="73">
        <v>1000000</v>
      </c>
      <c r="E115" s="56"/>
      <c r="F115" s="56"/>
      <c r="G115" s="56">
        <v>2425050</v>
      </c>
      <c r="H115" s="189" t="s">
        <v>763</v>
      </c>
      <c r="I115" s="191">
        <v>110760</v>
      </c>
      <c r="J115" s="56"/>
      <c r="K115" s="56"/>
      <c r="L115" s="56"/>
      <c r="M115" s="56"/>
      <c r="N115" s="56"/>
      <c r="O115" s="52" t="s">
        <v>1408</v>
      </c>
      <c r="P115" s="52"/>
      <c r="Q115" s="98" t="s">
        <v>973</v>
      </c>
      <c r="R115" s="56">
        <f>I115+(I115*0.18)-(I115*0.1)</f>
        <v>119620.8</v>
      </c>
      <c r="S115" s="56">
        <f>R115</f>
        <v>119620.8</v>
      </c>
      <c r="T115" s="56"/>
      <c r="U115" s="56"/>
      <c r="V115" s="69"/>
      <c r="W115" s="38"/>
      <c r="X115" s="38"/>
    </row>
    <row r="116" spans="1:24" ht="15" customHeight="1" thickBot="1">
      <c r="A116" s="52"/>
      <c r="B116" s="43"/>
      <c r="C116" s="82" t="s">
        <v>1388</v>
      </c>
      <c r="D116" s="73">
        <v>1000000</v>
      </c>
      <c r="E116" s="56"/>
      <c r="F116" s="56"/>
      <c r="G116" s="56">
        <v>2425051</v>
      </c>
      <c r="H116" s="189" t="s">
        <v>764</v>
      </c>
      <c r="I116" s="191">
        <v>110760</v>
      </c>
      <c r="J116" s="56"/>
      <c r="K116" s="56"/>
      <c r="L116" s="56"/>
      <c r="M116" s="56"/>
      <c r="N116" s="56"/>
      <c r="O116" s="56" t="s">
        <v>1408</v>
      </c>
      <c r="P116" s="56"/>
      <c r="Q116" s="56" t="s">
        <v>973</v>
      </c>
      <c r="R116" s="56">
        <f>I116+(I116*0.18)-(I116*0.1)</f>
        <v>119620.8</v>
      </c>
      <c r="S116" s="56">
        <f>R116</f>
        <v>119620.8</v>
      </c>
      <c r="T116" s="56"/>
      <c r="U116" s="56"/>
      <c r="V116" s="69"/>
      <c r="W116" s="38"/>
      <c r="X116" s="38"/>
    </row>
    <row r="117" spans="1:24" ht="15.75" customHeight="1" thickBot="1">
      <c r="A117" s="52"/>
      <c r="B117" s="43"/>
      <c r="C117" s="82" t="s">
        <v>1388</v>
      </c>
      <c r="D117" s="73">
        <v>1000000</v>
      </c>
      <c r="E117" s="56"/>
      <c r="F117" s="56"/>
      <c r="G117" s="68">
        <v>2425051</v>
      </c>
      <c r="H117" s="384" t="s">
        <v>764</v>
      </c>
      <c r="I117" s="406">
        <v>39240</v>
      </c>
      <c r="J117" s="56" t="s">
        <v>1408</v>
      </c>
      <c r="K117" s="56"/>
      <c r="L117" s="56"/>
      <c r="M117" s="56"/>
      <c r="N117" s="56"/>
      <c r="O117" s="56"/>
      <c r="P117" s="56"/>
      <c r="Q117" s="56" t="s">
        <v>973</v>
      </c>
      <c r="R117" s="56">
        <f>I117+(I117*0.18)-(I117*0.1)</f>
        <v>42379.199999999997</v>
      </c>
      <c r="S117" s="56">
        <f>R117</f>
        <v>42379.199999999997</v>
      </c>
      <c r="T117" s="25"/>
      <c r="U117" s="25"/>
      <c r="V117" s="33"/>
      <c r="W117" s="38"/>
      <c r="X117" s="38"/>
    </row>
    <row r="118" spans="1:24" ht="16.5" customHeight="1" thickBot="1">
      <c r="A118" s="52"/>
      <c r="B118" s="43"/>
      <c r="C118" s="82" t="s">
        <v>1409</v>
      </c>
      <c r="D118" s="73">
        <v>2600000</v>
      </c>
      <c r="E118" s="56" t="s">
        <v>1410</v>
      </c>
      <c r="F118" s="56"/>
      <c r="G118" s="56">
        <v>2425052</v>
      </c>
      <c r="H118" s="363" t="s">
        <v>1408</v>
      </c>
      <c r="I118" s="401">
        <f>520000*0.75</f>
        <v>390000</v>
      </c>
      <c r="J118" s="56"/>
      <c r="K118" s="56"/>
      <c r="L118" s="56"/>
      <c r="M118" s="56"/>
      <c r="N118" s="56"/>
      <c r="O118" s="56"/>
      <c r="P118" s="56" t="s">
        <v>838</v>
      </c>
      <c r="Q118" s="56" t="s">
        <v>973</v>
      </c>
      <c r="R118" s="56"/>
      <c r="S118" s="56"/>
      <c r="T118" s="56"/>
      <c r="U118" s="56"/>
      <c r="V118" s="69"/>
      <c r="W118" s="38"/>
      <c r="X118" s="38"/>
    </row>
    <row r="119" spans="1:24" ht="16.5" customHeight="1" thickBot="1">
      <c r="A119" s="52"/>
      <c r="B119" s="43"/>
      <c r="C119" s="82" t="s">
        <v>1409</v>
      </c>
      <c r="D119" s="73">
        <v>2600000</v>
      </c>
      <c r="E119" s="56" t="s">
        <v>1410</v>
      </c>
      <c r="F119" s="56"/>
      <c r="G119" s="56">
        <v>2425052</v>
      </c>
      <c r="H119" s="363" t="s">
        <v>1411</v>
      </c>
      <c r="I119" s="401">
        <f>390000/2</f>
        <v>195000</v>
      </c>
      <c r="J119" s="56"/>
      <c r="K119" s="56"/>
      <c r="L119" s="56"/>
      <c r="M119" s="56"/>
      <c r="N119" s="56"/>
      <c r="O119" s="56"/>
      <c r="P119" s="56"/>
      <c r="Q119" s="56" t="s">
        <v>973</v>
      </c>
      <c r="R119" s="56"/>
      <c r="S119" s="56"/>
      <c r="T119" s="56"/>
      <c r="U119" s="56"/>
      <c r="V119" s="69"/>
      <c r="W119" s="38"/>
      <c r="X119" s="38"/>
    </row>
    <row r="120" spans="1:24" ht="26.25" customHeight="1" thickBot="1">
      <c r="A120" s="52"/>
      <c r="B120" s="43"/>
      <c r="C120" s="82" t="s">
        <v>1338</v>
      </c>
      <c r="D120" s="73">
        <v>1735000</v>
      </c>
      <c r="E120" s="56" t="s">
        <v>1339</v>
      </c>
      <c r="F120" s="56"/>
      <c r="G120" s="56">
        <v>2425053</v>
      </c>
      <c r="H120" s="209" t="s">
        <v>1412</v>
      </c>
      <c r="I120" s="214">
        <f>347000*0.6</f>
        <v>208200</v>
      </c>
      <c r="J120" s="219"/>
      <c r="K120" s="125">
        <v>347000</v>
      </c>
      <c r="L120" s="56"/>
      <c r="M120" s="56"/>
      <c r="N120" s="56"/>
      <c r="O120" s="56" t="s">
        <v>1413</v>
      </c>
      <c r="P120" s="56" t="s">
        <v>1384</v>
      </c>
      <c r="Q120" s="56" t="s">
        <v>973</v>
      </c>
      <c r="R120" s="56"/>
      <c r="S120" s="56"/>
      <c r="T120" s="56"/>
      <c r="U120" s="56"/>
      <c r="V120" s="69"/>
      <c r="W120" s="38"/>
      <c r="X120" s="38"/>
    </row>
    <row r="121" spans="1:24" ht="15.75" customHeight="1" thickBot="1">
      <c r="A121" s="52"/>
      <c r="B121" s="43"/>
      <c r="C121" s="82" t="s">
        <v>1373</v>
      </c>
      <c r="D121" s="73">
        <v>900000</v>
      </c>
      <c r="E121" s="56" t="s">
        <v>1374</v>
      </c>
      <c r="F121" s="56"/>
      <c r="G121" s="56">
        <v>2425054</v>
      </c>
      <c r="H121" s="212" t="s">
        <v>551</v>
      </c>
      <c r="I121" s="214">
        <v>135000</v>
      </c>
      <c r="J121" s="56">
        <f>I121*0.18</f>
        <v>24300</v>
      </c>
      <c r="K121" s="56"/>
      <c r="L121" s="56"/>
      <c r="M121" s="56"/>
      <c r="N121" s="56"/>
      <c r="O121" s="56" t="s">
        <v>1414</v>
      </c>
      <c r="P121" s="56"/>
      <c r="Q121" s="56" t="s">
        <v>973</v>
      </c>
      <c r="R121" s="420">
        <f>I121+J121-(I121*0.1)</f>
        <v>145800</v>
      </c>
      <c r="S121" s="185">
        <v>145800</v>
      </c>
      <c r="T121" s="185" t="s">
        <v>1415</v>
      </c>
      <c r="U121" s="56"/>
      <c r="V121" s="69"/>
    </row>
    <row r="122" spans="1:24" ht="15.75" customHeight="1" thickBot="1">
      <c r="A122" s="52"/>
      <c r="B122" s="43"/>
      <c r="C122" s="82" t="s">
        <v>1376</v>
      </c>
      <c r="D122" s="73">
        <v>600000</v>
      </c>
      <c r="E122" s="56" t="s">
        <v>1374</v>
      </c>
      <c r="F122" s="56"/>
      <c r="G122" s="56">
        <v>2425054</v>
      </c>
      <c r="H122" s="212" t="s">
        <v>1416</v>
      </c>
      <c r="I122" s="214">
        <v>250000</v>
      </c>
      <c r="J122" s="56"/>
      <c r="K122" s="56"/>
      <c r="L122" s="56"/>
      <c r="M122" s="56"/>
      <c r="N122" s="56"/>
      <c r="O122" s="56" t="s">
        <v>1414</v>
      </c>
      <c r="P122" s="56"/>
      <c r="Q122" s="56" t="s">
        <v>973</v>
      </c>
      <c r="R122" s="56"/>
      <c r="S122" s="56"/>
      <c r="T122" s="56"/>
      <c r="U122" s="56"/>
      <c r="V122" s="69"/>
    </row>
    <row r="123" spans="1:24" ht="15.75" customHeight="1" thickBot="1">
      <c r="A123" s="52"/>
      <c r="B123" s="43"/>
      <c r="C123" s="82" t="s">
        <v>1349</v>
      </c>
      <c r="D123" s="73">
        <v>600000</v>
      </c>
      <c r="E123" s="56" t="s">
        <v>1350</v>
      </c>
      <c r="F123" s="56"/>
      <c r="G123" s="56">
        <v>2425055</v>
      </c>
      <c r="H123" s="212" t="s">
        <v>1055</v>
      </c>
      <c r="I123" s="214">
        <v>60000</v>
      </c>
      <c r="J123" s="56"/>
      <c r="K123" s="56"/>
      <c r="L123" s="56"/>
      <c r="M123" s="56"/>
      <c r="N123" s="56"/>
      <c r="O123" s="56" t="s">
        <v>1414</v>
      </c>
      <c r="P123" s="56"/>
      <c r="Q123" s="56" t="s">
        <v>973</v>
      </c>
      <c r="R123" s="56"/>
      <c r="S123" s="56"/>
      <c r="T123" s="56"/>
      <c r="U123" s="56"/>
      <c r="V123" s="69"/>
    </row>
    <row r="124" spans="1:24" ht="15.75" customHeight="1" thickBot="1">
      <c r="A124" s="52"/>
      <c r="B124" s="43"/>
      <c r="C124" s="82" t="s">
        <v>1388</v>
      </c>
      <c r="D124" s="73">
        <v>1000000</v>
      </c>
      <c r="E124" s="56"/>
      <c r="F124" s="56"/>
      <c r="G124" s="56">
        <v>2425056</v>
      </c>
      <c r="H124" s="391" t="s">
        <v>765</v>
      </c>
      <c r="I124" s="414">
        <v>147680</v>
      </c>
      <c r="J124" s="56"/>
      <c r="K124" s="56"/>
      <c r="L124" s="56"/>
      <c r="M124" s="56"/>
      <c r="N124" s="56"/>
      <c r="O124" s="56" t="s">
        <v>1417</v>
      </c>
      <c r="P124" s="56"/>
      <c r="Q124" s="56" t="s">
        <v>973</v>
      </c>
      <c r="R124" s="56">
        <f>I124+(I124*0.18)-(I124*0.1)</f>
        <v>159494.39999999999</v>
      </c>
      <c r="S124" s="56">
        <f>R124</f>
        <v>159494.39999999999</v>
      </c>
      <c r="T124" s="56"/>
      <c r="U124" s="56"/>
      <c r="V124" s="69"/>
    </row>
    <row r="125" spans="1:24" ht="15.75" customHeight="1" thickBot="1">
      <c r="A125" s="52"/>
      <c r="B125" s="43"/>
      <c r="C125" s="82" t="s">
        <v>1388</v>
      </c>
      <c r="D125" s="73">
        <v>1000000</v>
      </c>
      <c r="E125" s="56"/>
      <c r="F125" s="56"/>
      <c r="G125" s="56">
        <v>2425057</v>
      </c>
      <c r="H125" s="391" t="s">
        <v>765</v>
      </c>
      <c r="I125" s="414">
        <v>52320</v>
      </c>
      <c r="J125" s="56" t="s">
        <v>1417</v>
      </c>
      <c r="K125" s="56"/>
      <c r="L125" s="56"/>
      <c r="M125" s="56"/>
      <c r="N125" s="56"/>
      <c r="O125" s="56"/>
      <c r="P125" s="56"/>
      <c r="Q125" s="56" t="s">
        <v>973</v>
      </c>
      <c r="R125" s="56">
        <f>I125+(I125*0.18)-(I125*0.1)</f>
        <v>56505.599999999999</v>
      </c>
      <c r="S125" s="56">
        <f>R125</f>
        <v>56505.599999999999</v>
      </c>
      <c r="T125" s="185"/>
      <c r="U125" s="185"/>
      <c r="V125" s="193"/>
    </row>
    <row r="126" spans="1:24" ht="16.5" customHeight="1" thickBot="1">
      <c r="B126" s="182"/>
      <c r="C126" s="82" t="s">
        <v>1362</v>
      </c>
      <c r="D126" s="73">
        <v>3300000</v>
      </c>
      <c r="E126" s="56" t="s">
        <v>1363</v>
      </c>
      <c r="F126" s="185"/>
      <c r="G126" s="185">
        <v>2425058</v>
      </c>
      <c r="H126" s="380" t="s">
        <v>1418</v>
      </c>
      <c r="I126" s="399">
        <v>400000</v>
      </c>
      <c r="J126" s="218"/>
      <c r="K126" s="218"/>
      <c r="L126" s="218"/>
      <c r="M126" s="220"/>
      <c r="N126" s="56"/>
      <c r="O126" s="185" t="s">
        <v>1419</v>
      </c>
      <c r="P126" s="185"/>
      <c r="Q126" s="185" t="s">
        <v>973</v>
      </c>
      <c r="R126" s="185">
        <f>I126+(I126*0.18)-(I126*0.1)</f>
        <v>432000</v>
      </c>
      <c r="S126" s="185">
        <f>R126</f>
        <v>432000</v>
      </c>
      <c r="T126" s="185" t="s">
        <v>1420</v>
      </c>
      <c r="U126" s="185"/>
      <c r="V126" s="193"/>
    </row>
    <row r="127" spans="1:24" ht="31.5" customHeight="1">
      <c r="B127" s="182"/>
      <c r="C127" s="82" t="s">
        <v>1362</v>
      </c>
      <c r="D127" s="73">
        <v>3300000</v>
      </c>
      <c r="E127" s="56" t="s">
        <v>1363</v>
      </c>
      <c r="F127" s="185"/>
      <c r="G127" s="185">
        <v>2425058</v>
      </c>
      <c r="H127" s="218" t="s">
        <v>1417</v>
      </c>
      <c r="I127" s="184">
        <v>400000</v>
      </c>
      <c r="J127" s="56"/>
      <c r="K127" s="56"/>
      <c r="L127" s="56"/>
      <c r="M127" s="56"/>
      <c r="N127" s="56"/>
      <c r="O127" s="185" t="s">
        <v>1419</v>
      </c>
      <c r="P127" s="185"/>
      <c r="Q127" s="185" t="s">
        <v>973</v>
      </c>
      <c r="R127" s="185">
        <f>I127+(I127*0.18)-(I127*0.1)</f>
        <v>432000</v>
      </c>
      <c r="S127" s="185">
        <f>R127</f>
        <v>432000</v>
      </c>
      <c r="T127" s="185" t="s">
        <v>1420</v>
      </c>
      <c r="U127" s="185"/>
      <c r="V127" s="193"/>
    </row>
    <row r="128" spans="1:24" ht="31.5" customHeight="1">
      <c r="B128" s="182"/>
      <c r="C128" s="82" t="s">
        <v>1362</v>
      </c>
      <c r="D128" s="73">
        <v>3300000</v>
      </c>
      <c r="E128" s="56" t="s">
        <v>1363</v>
      </c>
      <c r="F128" s="185"/>
      <c r="G128" s="185">
        <v>2425058</v>
      </c>
      <c r="H128" s="218" t="s">
        <v>1421</v>
      </c>
      <c r="I128" s="184">
        <v>100000</v>
      </c>
      <c r="J128" s="56"/>
      <c r="K128" s="56"/>
      <c r="L128" s="56"/>
      <c r="M128" s="56"/>
      <c r="N128" s="56"/>
      <c r="O128" s="185" t="s">
        <v>1419</v>
      </c>
      <c r="P128" s="185"/>
      <c r="Q128" s="185" t="s">
        <v>973</v>
      </c>
      <c r="R128" s="185">
        <f>I128+(I128*0.18)-(I128*0.1)</f>
        <v>108000</v>
      </c>
      <c r="S128" s="185">
        <f>R128</f>
        <v>108000</v>
      </c>
      <c r="T128" s="185" t="s">
        <v>1420</v>
      </c>
      <c r="U128" s="185"/>
      <c r="V128" s="193"/>
      <c r="W128" s="38"/>
      <c r="X128" s="38"/>
    </row>
    <row r="129" spans="1:24">
      <c r="B129" s="182"/>
      <c r="C129" s="183" t="s">
        <v>1422</v>
      </c>
      <c r="D129" s="184">
        <v>1800000</v>
      </c>
      <c r="E129" s="185" t="s">
        <v>1423</v>
      </c>
      <c r="F129" s="185"/>
      <c r="G129" s="185">
        <v>2425059</v>
      </c>
      <c r="H129" s="183" t="s">
        <v>618</v>
      </c>
      <c r="I129" s="184">
        <f>1800000*0.2</f>
        <v>360000</v>
      </c>
      <c r="J129" s="56"/>
      <c r="K129" s="56"/>
      <c r="L129" s="56"/>
      <c r="M129" s="56"/>
      <c r="N129" s="56"/>
      <c r="O129" s="185" t="s">
        <v>1065</v>
      </c>
      <c r="P129" s="185"/>
      <c r="Q129" s="185" t="s">
        <v>973</v>
      </c>
      <c r="R129" s="185"/>
      <c r="S129" s="185"/>
      <c r="T129" s="185"/>
      <c r="U129" s="185"/>
      <c r="V129" s="193"/>
      <c r="W129" s="38"/>
      <c r="X129" s="38"/>
    </row>
    <row r="130" spans="1:24">
      <c r="A130" s="52"/>
      <c r="B130" s="43"/>
      <c r="C130" s="82" t="s">
        <v>1424</v>
      </c>
      <c r="D130" s="73">
        <v>2100000</v>
      </c>
      <c r="E130" s="56" t="s">
        <v>1425</v>
      </c>
      <c r="F130" s="56"/>
      <c r="G130" s="56">
        <v>2425060</v>
      </c>
      <c r="H130" s="397" t="s">
        <v>1426</v>
      </c>
      <c r="I130" s="413">
        <v>420000</v>
      </c>
      <c r="J130" s="56"/>
      <c r="K130" s="56"/>
      <c r="L130" s="56"/>
      <c r="M130" s="56"/>
      <c r="N130" s="56"/>
      <c r="O130" s="56" t="s">
        <v>1065</v>
      </c>
      <c r="P130" s="56"/>
      <c r="Q130" s="56" t="s">
        <v>973</v>
      </c>
      <c r="R130" s="56"/>
      <c r="S130" s="56"/>
      <c r="T130" s="56"/>
      <c r="U130" s="56"/>
      <c r="V130" s="69"/>
      <c r="W130" s="38"/>
      <c r="X130" s="38"/>
    </row>
    <row r="131" spans="1:24" ht="16.5" customHeight="1">
      <c r="A131" s="52"/>
      <c r="B131" s="43"/>
      <c r="C131" s="82" t="s">
        <v>1424</v>
      </c>
      <c r="D131" s="73">
        <v>2100000</v>
      </c>
      <c r="E131" s="56" t="s">
        <v>1425</v>
      </c>
      <c r="F131" s="56"/>
      <c r="G131" s="56">
        <v>2425061</v>
      </c>
      <c r="H131" s="389" t="s">
        <v>1427</v>
      </c>
      <c r="I131" s="413">
        <v>315000</v>
      </c>
      <c r="J131" s="56"/>
      <c r="K131" s="56"/>
      <c r="L131" s="56"/>
      <c r="M131" s="56"/>
      <c r="N131" s="56"/>
      <c r="O131" s="56" t="s">
        <v>1065</v>
      </c>
      <c r="P131" s="56"/>
      <c r="Q131" s="56" t="s">
        <v>973</v>
      </c>
      <c r="R131" s="56"/>
      <c r="S131" s="56"/>
      <c r="T131" s="56"/>
      <c r="U131" s="56"/>
      <c r="V131" s="69"/>
      <c r="W131" s="38"/>
      <c r="X131" s="38"/>
    </row>
    <row r="132" spans="1:24">
      <c r="A132" s="52"/>
      <c r="B132" s="43"/>
      <c r="C132" s="82" t="s">
        <v>1367</v>
      </c>
      <c r="D132" s="73">
        <v>1500000</v>
      </c>
      <c r="E132" s="56" t="s">
        <v>1368</v>
      </c>
      <c r="F132" s="56"/>
      <c r="G132" s="56">
        <v>2425062</v>
      </c>
      <c r="H132" s="82" t="s">
        <v>1428</v>
      </c>
      <c r="I132" s="56">
        <f>D132*10%*0.65</f>
        <v>97500</v>
      </c>
      <c r="J132" s="56"/>
      <c r="K132" s="56"/>
      <c r="L132" s="56"/>
      <c r="M132" s="56"/>
      <c r="N132" s="56"/>
      <c r="O132" s="56" t="s">
        <v>1066</v>
      </c>
      <c r="P132" s="56"/>
      <c r="Q132" s="56" t="s">
        <v>973</v>
      </c>
      <c r="R132" s="56"/>
      <c r="S132" s="56"/>
      <c r="T132" s="56"/>
      <c r="U132" s="56"/>
      <c r="V132" s="69"/>
      <c r="W132" s="38"/>
      <c r="X132" s="38"/>
    </row>
    <row r="133" spans="1:24" ht="15.75" customHeight="1">
      <c r="A133" s="52"/>
      <c r="B133" s="43"/>
      <c r="C133" s="82" t="s">
        <v>1429</v>
      </c>
      <c r="D133" s="73"/>
      <c r="E133" s="56" t="s">
        <v>1430</v>
      </c>
      <c r="F133" s="56"/>
      <c r="G133" s="56">
        <v>2425064</v>
      </c>
      <c r="H133" s="27" t="s">
        <v>618</v>
      </c>
      <c r="I133" s="411">
        <v>300000</v>
      </c>
      <c r="J133" s="56"/>
      <c r="K133" s="56"/>
      <c r="L133" s="56"/>
      <c r="M133" s="56"/>
      <c r="N133" s="56"/>
      <c r="O133" s="56" t="s">
        <v>1431</v>
      </c>
      <c r="P133" s="56"/>
      <c r="Q133" s="56" t="s">
        <v>973</v>
      </c>
      <c r="R133" s="185">
        <f t="shared" ref="R133:R140" si="21">I133+(I133*0.18)-(I133*0.1)</f>
        <v>324000</v>
      </c>
      <c r="S133" s="56">
        <v>324000</v>
      </c>
      <c r="T133" s="56"/>
      <c r="U133" s="56"/>
      <c r="V133" s="69">
        <v>0</v>
      </c>
      <c r="W133" s="38"/>
      <c r="X133" s="38"/>
    </row>
    <row r="134" spans="1:24" ht="15.75" customHeight="1">
      <c r="A134" s="52"/>
      <c r="B134" s="43"/>
      <c r="C134" s="82" t="s">
        <v>1432</v>
      </c>
      <c r="D134" s="73"/>
      <c r="E134" s="56" t="s">
        <v>1430</v>
      </c>
      <c r="F134" s="56"/>
      <c r="G134" s="56">
        <v>2425064</v>
      </c>
      <c r="H134" s="27" t="s">
        <v>618</v>
      </c>
      <c r="I134" s="411">
        <v>300000</v>
      </c>
      <c r="J134" s="56"/>
      <c r="K134" s="56"/>
      <c r="L134" s="56"/>
      <c r="M134" s="56"/>
      <c r="N134" s="56"/>
      <c r="O134" s="56" t="s">
        <v>1431</v>
      </c>
      <c r="P134" s="56"/>
      <c r="Q134" s="56" t="s">
        <v>973</v>
      </c>
      <c r="R134" s="185">
        <f t="shared" si="21"/>
        <v>324000</v>
      </c>
      <c r="S134" s="56">
        <v>324000</v>
      </c>
      <c r="T134" s="56"/>
      <c r="U134" s="56"/>
      <c r="V134" s="69">
        <v>0</v>
      </c>
      <c r="W134" s="38"/>
      <c r="X134" s="38"/>
    </row>
    <row r="135" spans="1:24" ht="15.75" customHeight="1">
      <c r="A135" s="52"/>
      <c r="B135" s="43"/>
      <c r="C135" s="82" t="s">
        <v>1066</v>
      </c>
      <c r="D135" s="73"/>
      <c r="E135" s="56" t="s">
        <v>1430</v>
      </c>
      <c r="F135" s="56"/>
      <c r="G135" s="56">
        <v>2425065</v>
      </c>
      <c r="H135" s="27" t="s">
        <v>618</v>
      </c>
      <c r="I135" s="411">
        <v>300000</v>
      </c>
      <c r="J135" s="56"/>
      <c r="K135" s="56"/>
      <c r="L135" s="56"/>
      <c r="M135" s="56"/>
      <c r="N135" s="56"/>
      <c r="O135" s="56" t="s">
        <v>1431</v>
      </c>
      <c r="P135" s="56"/>
      <c r="Q135" s="56" t="s">
        <v>973</v>
      </c>
      <c r="R135" s="185">
        <f t="shared" si="21"/>
        <v>324000</v>
      </c>
      <c r="S135" s="56">
        <v>324000</v>
      </c>
      <c r="T135" s="56"/>
      <c r="U135" s="56"/>
      <c r="V135" s="69">
        <v>0</v>
      </c>
      <c r="W135" s="38"/>
      <c r="X135" s="38"/>
    </row>
    <row r="136" spans="1:24" ht="15.75" customHeight="1">
      <c r="B136" s="182"/>
      <c r="C136" s="183" t="s">
        <v>1433</v>
      </c>
      <c r="D136" s="184">
        <v>3600000</v>
      </c>
      <c r="E136" s="185" t="s">
        <v>1434</v>
      </c>
      <c r="F136" s="185"/>
      <c r="G136" s="185">
        <v>2425066</v>
      </c>
      <c r="H136" s="27" t="s">
        <v>711</v>
      </c>
      <c r="I136" s="28">
        <v>720000</v>
      </c>
      <c r="J136" s="418">
        <v>0.2</v>
      </c>
      <c r="K136" s="56"/>
      <c r="L136" s="56"/>
      <c r="M136" s="56"/>
      <c r="N136" s="56"/>
      <c r="O136" s="185" t="s">
        <v>1435</v>
      </c>
      <c r="P136" s="185"/>
      <c r="Q136" s="185" t="s">
        <v>973</v>
      </c>
      <c r="R136" s="185">
        <f t="shared" si="21"/>
        <v>777600</v>
      </c>
      <c r="S136" s="185">
        <v>777600</v>
      </c>
      <c r="T136" s="185"/>
      <c r="U136" s="185"/>
      <c r="V136" s="193">
        <v>0</v>
      </c>
      <c r="W136" s="38"/>
      <c r="X136" s="38"/>
    </row>
    <row r="137" spans="1:24" ht="15.75" customHeight="1">
      <c r="A137" s="52"/>
      <c r="B137" s="43"/>
      <c r="C137" s="82" t="s">
        <v>1066</v>
      </c>
      <c r="D137" s="73"/>
      <c r="E137" s="56" t="s">
        <v>1430</v>
      </c>
      <c r="F137" s="56"/>
      <c r="G137" s="185">
        <v>2425067</v>
      </c>
      <c r="H137" s="27" t="s">
        <v>751</v>
      </c>
      <c r="I137" s="412">
        <v>225000</v>
      </c>
      <c r="J137" s="56"/>
      <c r="K137" s="56"/>
      <c r="L137" s="56"/>
      <c r="M137" s="56"/>
      <c r="N137" s="56"/>
      <c r="O137" s="185" t="s">
        <v>1435</v>
      </c>
      <c r="P137" s="56"/>
      <c r="Q137" s="56" t="s">
        <v>973</v>
      </c>
      <c r="R137" s="185">
        <f t="shared" si="21"/>
        <v>243000</v>
      </c>
      <c r="S137" s="56">
        <f>R137</f>
        <v>243000</v>
      </c>
      <c r="T137" s="56" t="s">
        <v>1436</v>
      </c>
      <c r="U137" s="56"/>
      <c r="V137" s="69"/>
    </row>
    <row r="138" spans="1:24" ht="15.75" customHeight="1">
      <c r="A138" s="52"/>
      <c r="B138" s="43"/>
      <c r="C138" s="82" t="s">
        <v>1066</v>
      </c>
      <c r="D138" s="73"/>
      <c r="E138" s="56" t="s">
        <v>1430</v>
      </c>
      <c r="F138" s="56"/>
      <c r="G138" s="185">
        <v>2425067</v>
      </c>
      <c r="H138" s="27" t="s">
        <v>760</v>
      </c>
      <c r="I138" s="412">
        <v>300000</v>
      </c>
      <c r="J138" s="56"/>
      <c r="K138" s="56"/>
      <c r="L138" s="56"/>
      <c r="M138" s="56"/>
      <c r="N138" s="56"/>
      <c r="O138" s="185" t="s">
        <v>1435</v>
      </c>
      <c r="P138" s="56"/>
      <c r="Q138" s="56" t="s">
        <v>973</v>
      </c>
      <c r="R138" s="185">
        <f t="shared" si="21"/>
        <v>324000</v>
      </c>
      <c r="S138" s="56">
        <f>R138</f>
        <v>324000</v>
      </c>
      <c r="T138" s="56" t="s">
        <v>1436</v>
      </c>
      <c r="U138" s="56"/>
      <c r="V138" s="69"/>
    </row>
    <row r="139" spans="1:24">
      <c r="B139" s="182"/>
      <c r="C139" s="183" t="s">
        <v>1437</v>
      </c>
      <c r="D139" s="184">
        <v>1000000</v>
      </c>
      <c r="E139" s="185" t="s">
        <v>1438</v>
      </c>
      <c r="F139" s="185"/>
      <c r="G139" s="185">
        <v>2425069</v>
      </c>
      <c r="H139" s="183" t="s">
        <v>780</v>
      </c>
      <c r="I139" s="184">
        <v>200000</v>
      </c>
      <c r="J139" s="56"/>
      <c r="K139" s="56"/>
      <c r="L139" s="56"/>
      <c r="M139" s="56"/>
      <c r="N139" s="56"/>
      <c r="O139" s="185" t="s">
        <v>1220</v>
      </c>
      <c r="P139" s="185"/>
      <c r="Q139" s="56" t="s">
        <v>973</v>
      </c>
      <c r="R139" s="185">
        <f t="shared" si="21"/>
        <v>216000</v>
      </c>
      <c r="S139" s="185">
        <f>R139</f>
        <v>216000</v>
      </c>
      <c r="T139" s="185" t="s">
        <v>1420</v>
      </c>
      <c r="U139" s="185"/>
      <c r="V139" s="193"/>
      <c r="W139" s="52"/>
      <c r="X139" s="52"/>
    </row>
    <row r="140" spans="1:24">
      <c r="B140" s="182"/>
      <c r="C140" s="183" t="s">
        <v>1439</v>
      </c>
      <c r="D140" s="184">
        <v>2000000</v>
      </c>
      <c r="E140" s="185" t="s">
        <v>1440</v>
      </c>
      <c r="F140" s="185"/>
      <c r="G140" s="185">
        <v>2425070</v>
      </c>
      <c r="H140" s="183" t="s">
        <v>1441</v>
      </c>
      <c r="I140" s="184">
        <v>200000</v>
      </c>
      <c r="J140" s="56"/>
      <c r="K140" s="56"/>
      <c r="L140" s="56"/>
      <c r="M140" s="56"/>
      <c r="N140" s="56"/>
      <c r="O140" s="185" t="s">
        <v>1220</v>
      </c>
      <c r="P140" s="185"/>
      <c r="Q140" s="56" t="s">
        <v>973</v>
      </c>
      <c r="R140" s="185">
        <f t="shared" si="21"/>
        <v>216000</v>
      </c>
      <c r="S140" s="185">
        <f>R140</f>
        <v>216000</v>
      </c>
      <c r="T140" s="185" t="s">
        <v>1420</v>
      </c>
      <c r="U140" s="185"/>
      <c r="V140" s="193"/>
    </row>
    <row r="141" spans="1:24" ht="56.25" customHeight="1">
      <c r="B141" s="182"/>
      <c r="C141" s="183" t="s">
        <v>1442</v>
      </c>
      <c r="D141" s="184">
        <v>2100000</v>
      </c>
      <c r="E141" s="494" t="s">
        <v>1443</v>
      </c>
      <c r="F141" s="185"/>
      <c r="G141" s="185">
        <v>2526001</v>
      </c>
      <c r="H141" s="448" t="s">
        <v>1444</v>
      </c>
      <c r="I141" s="468">
        <v>420000</v>
      </c>
      <c r="J141" s="185">
        <f t="shared" ref="J141:J173" si="22">I141*0.18</f>
        <v>75600</v>
      </c>
      <c r="K141" s="56"/>
      <c r="L141" s="56"/>
      <c r="M141" s="56"/>
      <c r="N141" s="56"/>
      <c r="O141" s="185" t="s">
        <v>1445</v>
      </c>
      <c r="P141" s="185"/>
      <c r="Q141" s="185" t="s">
        <v>1019</v>
      </c>
      <c r="R141" s="420">
        <f t="shared" ref="R141:R148" si="23">I141+J141-(I141*0.1)</f>
        <v>453600</v>
      </c>
      <c r="S141" s="420">
        <f>378000+378000</f>
        <v>756000</v>
      </c>
      <c r="T141" s="482" t="s">
        <v>1109</v>
      </c>
      <c r="U141" s="185" t="s">
        <v>1446</v>
      </c>
      <c r="V141" s="193"/>
      <c r="W141" s="226"/>
      <c r="X141" s="226"/>
    </row>
    <row r="142" spans="1:24">
      <c r="B142" s="182"/>
      <c r="C142" s="183" t="s">
        <v>1219</v>
      </c>
      <c r="D142" s="184">
        <v>4300000</v>
      </c>
      <c r="E142" s="495"/>
      <c r="F142" s="185"/>
      <c r="G142" s="185">
        <v>2526002</v>
      </c>
      <c r="H142" s="183" t="s">
        <v>1447</v>
      </c>
      <c r="I142" s="184">
        <f>0.2*D142</f>
        <v>860000</v>
      </c>
      <c r="J142" s="185">
        <f t="shared" si="22"/>
        <v>154800</v>
      </c>
      <c r="K142" s="56"/>
      <c r="L142" s="56"/>
      <c r="M142" s="56"/>
      <c r="N142" s="56"/>
      <c r="O142" s="185"/>
      <c r="P142" s="185"/>
      <c r="Q142" s="49" t="s">
        <v>1019</v>
      </c>
      <c r="R142" s="420">
        <f t="shared" si="23"/>
        <v>928800</v>
      </c>
      <c r="S142" s="420">
        <f>I142+(I142*0.18)-(I142*0.1)</f>
        <v>928800</v>
      </c>
      <c r="T142" s="185" t="s">
        <v>1448</v>
      </c>
      <c r="U142" s="185" t="str">
        <f t="shared" ref="U142:U147" si="24">IF(S142=R142, "clear", "not clear")</f>
        <v>clear</v>
      </c>
      <c r="V142" s="193"/>
    </row>
    <row r="143" spans="1:24">
      <c r="B143" s="182"/>
      <c r="C143" s="183" t="s">
        <v>1388</v>
      </c>
      <c r="D143" s="184">
        <v>1000000</v>
      </c>
      <c r="E143" s="495"/>
      <c r="F143" s="56"/>
      <c r="G143" s="185">
        <v>2526003</v>
      </c>
      <c r="H143" s="234" t="s">
        <v>766</v>
      </c>
      <c r="I143" s="372">
        <v>73840</v>
      </c>
      <c r="J143" s="185">
        <f t="shared" si="22"/>
        <v>13291.199999999999</v>
      </c>
      <c r="K143" s="56"/>
      <c r="L143" s="56"/>
      <c r="M143" s="56"/>
      <c r="N143" s="56"/>
      <c r="O143" s="185" t="s">
        <v>1053</v>
      </c>
      <c r="P143" s="185"/>
      <c r="Q143" s="481" t="s">
        <v>1019</v>
      </c>
      <c r="R143" s="420">
        <f t="shared" si="23"/>
        <v>79747.199999999997</v>
      </c>
      <c r="S143" s="420">
        <f>R143</f>
        <v>79747.199999999997</v>
      </c>
      <c r="T143" s="185" t="s">
        <v>1449</v>
      </c>
      <c r="U143" s="185" t="str">
        <f t="shared" si="24"/>
        <v>clear</v>
      </c>
      <c r="V143" s="193"/>
    </row>
    <row r="144" spans="1:24">
      <c r="B144" s="182"/>
      <c r="C144" s="183" t="s">
        <v>1388</v>
      </c>
      <c r="D144" s="184">
        <v>1000000</v>
      </c>
      <c r="E144" s="495"/>
      <c r="F144" s="56"/>
      <c r="G144" s="185">
        <v>2526004</v>
      </c>
      <c r="H144" s="234" t="s">
        <v>766</v>
      </c>
      <c r="I144" s="372">
        <v>26160</v>
      </c>
      <c r="J144" s="185">
        <f t="shared" si="22"/>
        <v>4708.8</v>
      </c>
      <c r="K144" s="56"/>
      <c r="L144" s="56"/>
      <c r="M144" s="56"/>
      <c r="N144" s="56"/>
      <c r="O144" s="185" t="s">
        <v>1053</v>
      </c>
      <c r="P144" s="185"/>
      <c r="Q144" s="185" t="s">
        <v>1019</v>
      </c>
      <c r="R144" s="420">
        <f t="shared" si="23"/>
        <v>28252.799999999999</v>
      </c>
      <c r="S144" s="420">
        <f>R144</f>
        <v>28252.799999999999</v>
      </c>
      <c r="T144" s="185" t="s">
        <v>1449</v>
      </c>
      <c r="U144" s="185" t="str">
        <f t="shared" si="24"/>
        <v>clear</v>
      </c>
      <c r="V144" s="193"/>
    </row>
    <row r="145" spans="1:24">
      <c r="B145" s="182"/>
      <c r="C145" s="183" t="s">
        <v>1349</v>
      </c>
      <c r="D145" s="184">
        <v>600000</v>
      </c>
      <c r="E145" s="495" t="s">
        <v>1350</v>
      </c>
      <c r="F145" s="56"/>
      <c r="G145" s="444">
        <v>2526007</v>
      </c>
      <c r="H145" s="183" t="s">
        <v>1450</v>
      </c>
      <c r="I145" s="184">
        <f>157500/2</f>
        <v>78750</v>
      </c>
      <c r="J145" s="185">
        <f t="shared" si="22"/>
        <v>14175</v>
      </c>
      <c r="K145" s="56"/>
      <c r="L145" s="56"/>
      <c r="M145" s="56"/>
      <c r="N145" s="56"/>
      <c r="O145" s="185"/>
      <c r="P145" s="185"/>
      <c r="Q145" s="185" t="s">
        <v>1019</v>
      </c>
      <c r="R145" s="420">
        <f t="shared" si="23"/>
        <v>85050</v>
      </c>
      <c r="S145" s="420">
        <f>R145</f>
        <v>85050</v>
      </c>
      <c r="T145" s="185" t="s">
        <v>1451</v>
      </c>
      <c r="U145" s="185" t="str">
        <f t="shared" si="24"/>
        <v>clear</v>
      </c>
      <c r="V145" s="193"/>
    </row>
    <row r="146" spans="1:24">
      <c r="B146" s="182"/>
      <c r="C146" s="183" t="s">
        <v>1349</v>
      </c>
      <c r="D146" s="184">
        <v>600000</v>
      </c>
      <c r="E146" s="495" t="s">
        <v>1350</v>
      </c>
      <c r="F146" s="56"/>
      <c r="G146" s="444">
        <v>2526007</v>
      </c>
      <c r="H146" s="183" t="s">
        <v>1452</v>
      </c>
      <c r="I146" s="184">
        <f>67500/2</f>
        <v>33750</v>
      </c>
      <c r="J146" s="185">
        <f t="shared" si="22"/>
        <v>6075</v>
      </c>
      <c r="K146" s="56"/>
      <c r="L146" s="56"/>
      <c r="M146" s="56"/>
      <c r="N146" s="56"/>
      <c r="O146" s="185"/>
      <c r="P146" s="185"/>
      <c r="Q146" s="185" t="s">
        <v>1019</v>
      </c>
      <c r="R146" s="420">
        <f t="shared" si="23"/>
        <v>36450</v>
      </c>
      <c r="S146" s="420">
        <f>R146</f>
        <v>36450</v>
      </c>
      <c r="T146" s="185" t="s">
        <v>1451</v>
      </c>
      <c r="U146" s="185" t="str">
        <f t="shared" si="24"/>
        <v>clear</v>
      </c>
      <c r="V146" s="193"/>
    </row>
    <row r="147" spans="1:24">
      <c r="B147" s="182"/>
      <c r="C147" s="183" t="s">
        <v>1453</v>
      </c>
      <c r="D147" s="184">
        <v>1250000</v>
      </c>
      <c r="E147" s="495" t="s">
        <v>1454</v>
      </c>
      <c r="F147" s="185"/>
      <c r="G147" s="185">
        <v>2526008</v>
      </c>
      <c r="H147" s="59" t="s">
        <v>711</v>
      </c>
      <c r="I147" s="372">
        <v>250000</v>
      </c>
      <c r="J147" s="185">
        <f t="shared" si="22"/>
        <v>45000</v>
      </c>
      <c r="K147" s="56"/>
      <c r="L147" s="56"/>
      <c r="M147" s="56"/>
      <c r="N147" s="56"/>
      <c r="O147" s="185" t="s">
        <v>1455</v>
      </c>
      <c r="P147" s="185"/>
      <c r="Q147" s="185" t="s">
        <v>1019</v>
      </c>
      <c r="R147" s="420">
        <f t="shared" si="23"/>
        <v>270000</v>
      </c>
      <c r="S147" s="420">
        <f>R147</f>
        <v>270000</v>
      </c>
      <c r="T147" s="185" t="s">
        <v>1448</v>
      </c>
      <c r="U147" s="185" t="str">
        <f t="shared" si="24"/>
        <v>clear</v>
      </c>
      <c r="V147" s="193"/>
    </row>
    <row r="148" spans="1:24">
      <c r="B148" s="182"/>
      <c r="C148" s="183" t="s">
        <v>1373</v>
      </c>
      <c r="D148" s="184">
        <v>900000</v>
      </c>
      <c r="E148" s="495" t="s">
        <v>1374</v>
      </c>
      <c r="F148" s="185"/>
      <c r="G148" s="445">
        <v>2526009</v>
      </c>
      <c r="H148" s="183" t="s">
        <v>399</v>
      </c>
      <c r="I148" s="437">
        <v>135000</v>
      </c>
      <c r="J148" s="185">
        <f t="shared" si="22"/>
        <v>24300</v>
      </c>
      <c r="K148" s="56"/>
      <c r="L148" s="56"/>
      <c r="M148" s="56"/>
      <c r="N148" s="56"/>
      <c r="O148" s="185" t="s">
        <v>1456</v>
      </c>
      <c r="P148" s="185"/>
      <c r="Q148" s="185" t="s">
        <v>1019</v>
      </c>
      <c r="R148" s="420">
        <f t="shared" si="23"/>
        <v>145800</v>
      </c>
      <c r="S148" s="420"/>
      <c r="T148" s="185"/>
      <c r="U148" s="185" t="e">
        <f>IF(#REF!=R148, "clear", "not clear")</f>
        <v>#REF!</v>
      </c>
      <c r="V148" s="193"/>
    </row>
    <row r="149" spans="1:24">
      <c r="B149" s="182"/>
      <c r="C149" s="183" t="s">
        <v>1457</v>
      </c>
      <c r="D149" s="184" t="s">
        <v>1458</v>
      </c>
      <c r="E149" s="495" t="s">
        <v>1459</v>
      </c>
      <c r="F149" s="185"/>
      <c r="G149" s="185">
        <v>2526010</v>
      </c>
      <c r="H149" s="234" t="s">
        <v>618</v>
      </c>
      <c r="I149" s="184">
        <f>P149*85.66</f>
        <v>1113580</v>
      </c>
      <c r="J149" s="185">
        <f t="shared" si="22"/>
        <v>200444.4</v>
      </c>
      <c r="K149" s="56"/>
      <c r="L149" s="56"/>
      <c r="M149" s="56"/>
      <c r="N149" s="56"/>
      <c r="O149" s="185" t="s">
        <v>1460</v>
      </c>
      <c r="P149" s="44">
        <v>13000</v>
      </c>
      <c r="Q149" s="185" t="s">
        <v>1019</v>
      </c>
      <c r="R149" s="420">
        <f>I149</f>
        <v>1113580</v>
      </c>
      <c r="S149" s="420">
        <v>1113580</v>
      </c>
      <c r="T149" s="166" t="s">
        <v>1461</v>
      </c>
      <c r="U149" s="166" t="s">
        <v>1462</v>
      </c>
      <c r="V149" s="364">
        <v>0</v>
      </c>
      <c r="W149" s="365"/>
    </row>
    <row r="150" spans="1:24">
      <c r="B150" s="182"/>
      <c r="C150" s="183" t="s">
        <v>1409</v>
      </c>
      <c r="D150" s="184">
        <v>2600000</v>
      </c>
      <c r="E150" s="495" t="s">
        <v>1410</v>
      </c>
      <c r="F150" s="56"/>
      <c r="G150" s="185">
        <v>2526011</v>
      </c>
      <c r="H150" s="234" t="s">
        <v>1097</v>
      </c>
      <c r="I150" s="44">
        <f>390000*0.75</f>
        <v>292500</v>
      </c>
      <c r="J150" s="185">
        <f t="shared" si="22"/>
        <v>52650</v>
      </c>
      <c r="K150" s="419" t="s">
        <v>973</v>
      </c>
      <c r="L150" s="56"/>
      <c r="M150" s="56"/>
      <c r="N150" s="56"/>
      <c r="O150" s="185" t="s">
        <v>1463</v>
      </c>
      <c r="P150" s="185"/>
      <c r="Q150" s="49" t="s">
        <v>1019</v>
      </c>
      <c r="R150" s="420">
        <f t="shared" ref="R150:R167" si="25">I150+J150-(I150*0.1)</f>
        <v>315900</v>
      </c>
      <c r="S150" s="420">
        <f>R150</f>
        <v>315900</v>
      </c>
      <c r="T150" s="185" t="s">
        <v>1464</v>
      </c>
      <c r="U150" s="185" t="str">
        <f t="shared" ref="U150:U164" si="26">IF(S150=R150, "clear", "not clear")</f>
        <v>clear</v>
      </c>
      <c r="V150" s="424"/>
    </row>
    <row r="151" spans="1:24" ht="75" customHeight="1">
      <c r="B151" s="182"/>
      <c r="C151" s="183" t="s">
        <v>1367</v>
      </c>
      <c r="D151" s="184">
        <v>1500000</v>
      </c>
      <c r="E151" s="495" t="s">
        <v>1368</v>
      </c>
      <c r="F151" s="56"/>
      <c r="G151" s="186">
        <v>2526014</v>
      </c>
      <c r="H151" s="370" t="s">
        <v>1465</v>
      </c>
      <c r="I151" s="185">
        <v>150000</v>
      </c>
      <c r="J151" s="185">
        <f t="shared" si="22"/>
        <v>27000</v>
      </c>
      <c r="K151" s="56"/>
      <c r="L151" s="56"/>
      <c r="M151" s="56"/>
      <c r="N151" s="56"/>
      <c r="O151" s="185" t="s">
        <v>1466</v>
      </c>
      <c r="P151" s="185"/>
      <c r="Q151" s="185" t="s">
        <v>1019</v>
      </c>
      <c r="R151" s="420">
        <f t="shared" si="25"/>
        <v>162000</v>
      </c>
      <c r="S151" s="420">
        <f>R151</f>
        <v>162000</v>
      </c>
      <c r="T151" s="185" t="s">
        <v>1467</v>
      </c>
      <c r="U151" s="185" t="str">
        <f t="shared" si="26"/>
        <v>clear</v>
      </c>
      <c r="V151" s="193"/>
      <c r="W151" s="52"/>
      <c r="X151" s="52"/>
    </row>
    <row r="152" spans="1:24">
      <c r="B152" s="182"/>
      <c r="C152" s="183" t="s">
        <v>1367</v>
      </c>
      <c r="D152" s="184">
        <v>1500000</v>
      </c>
      <c r="E152" s="495" t="s">
        <v>1368</v>
      </c>
      <c r="F152" s="56"/>
      <c r="G152" s="186">
        <v>2526014</v>
      </c>
      <c r="H152" s="183" t="s">
        <v>1468</v>
      </c>
      <c r="I152" s="185">
        <f>D152*10%*0.35</f>
        <v>52500</v>
      </c>
      <c r="J152" s="185">
        <f t="shared" si="22"/>
        <v>9450</v>
      </c>
      <c r="K152" s="56"/>
      <c r="L152" s="56" t="s">
        <v>973</v>
      </c>
      <c r="M152" s="56"/>
      <c r="N152" s="56"/>
      <c r="O152" s="185" t="s">
        <v>1466</v>
      </c>
      <c r="P152" s="185"/>
      <c r="Q152" s="185" t="s">
        <v>1019</v>
      </c>
      <c r="R152" s="420">
        <f t="shared" si="25"/>
        <v>56700</v>
      </c>
      <c r="S152" s="420">
        <f>R152</f>
        <v>56700</v>
      </c>
      <c r="T152" s="185" t="s">
        <v>1467</v>
      </c>
      <c r="U152" s="185" t="str">
        <f t="shared" si="26"/>
        <v>clear</v>
      </c>
      <c r="V152" s="193"/>
      <c r="W152" s="52"/>
      <c r="X152" s="52"/>
    </row>
    <row r="153" spans="1:24" s="38" customFormat="1">
      <c r="A153" s="166"/>
      <c r="B153" s="182"/>
      <c r="C153" s="183" t="s">
        <v>1367</v>
      </c>
      <c r="D153" s="184">
        <v>1500000</v>
      </c>
      <c r="E153" s="495" t="s">
        <v>1368</v>
      </c>
      <c r="F153" s="56"/>
      <c r="G153" s="185">
        <v>2526014</v>
      </c>
      <c r="H153" s="183" t="s">
        <v>1469</v>
      </c>
      <c r="I153" s="185">
        <f>D153*15%*0.35</f>
        <v>78750</v>
      </c>
      <c r="J153" s="185">
        <f t="shared" si="22"/>
        <v>14175</v>
      </c>
      <c r="K153" s="56"/>
      <c r="L153" s="56" t="s">
        <v>973</v>
      </c>
      <c r="M153" s="56"/>
      <c r="N153" s="56"/>
      <c r="O153" s="185" t="s">
        <v>1466</v>
      </c>
      <c r="P153" s="185"/>
      <c r="Q153" s="185" t="s">
        <v>1019</v>
      </c>
      <c r="R153" s="420">
        <f t="shared" si="25"/>
        <v>85050</v>
      </c>
      <c r="S153" s="420">
        <f>R153</f>
        <v>85050</v>
      </c>
      <c r="T153" s="185" t="s">
        <v>1467</v>
      </c>
      <c r="U153" s="185" t="str">
        <f t="shared" si="26"/>
        <v>clear</v>
      </c>
      <c r="V153" s="193"/>
      <c r="W153" s="52"/>
      <c r="X153" s="52"/>
    </row>
    <row r="154" spans="1:24" s="38" customFormat="1" ht="75" customHeight="1">
      <c r="A154" s="166"/>
      <c r="B154" s="182"/>
      <c r="C154" s="183" t="s">
        <v>1367</v>
      </c>
      <c r="D154" s="184">
        <v>1500000</v>
      </c>
      <c r="E154" s="495" t="s">
        <v>1368</v>
      </c>
      <c r="F154" s="56"/>
      <c r="G154" s="185">
        <v>2526014</v>
      </c>
      <c r="H154" s="370" t="s">
        <v>1470</v>
      </c>
      <c r="I154" s="185">
        <f>D154*10%</f>
        <v>150000</v>
      </c>
      <c r="J154" s="185">
        <f t="shared" si="22"/>
        <v>27000</v>
      </c>
      <c r="K154" s="56"/>
      <c r="L154" s="56"/>
      <c r="M154" s="56"/>
      <c r="N154" s="56"/>
      <c r="O154" s="185" t="s">
        <v>1466</v>
      </c>
      <c r="P154" s="185"/>
      <c r="Q154" s="185" t="s">
        <v>1019</v>
      </c>
      <c r="R154" s="420">
        <f t="shared" si="25"/>
        <v>162000</v>
      </c>
      <c r="S154" s="420">
        <f>R154</f>
        <v>162000</v>
      </c>
      <c r="T154" s="185" t="s">
        <v>1467</v>
      </c>
      <c r="U154" s="185" t="str">
        <f t="shared" si="26"/>
        <v>clear</v>
      </c>
      <c r="V154" s="193"/>
      <c r="W154" s="52"/>
      <c r="X154" s="52"/>
    </row>
    <row r="155" spans="1:24" s="38" customFormat="1" ht="56.25" customHeight="1">
      <c r="A155" s="166"/>
      <c r="B155" s="182"/>
      <c r="C155" s="183" t="s">
        <v>1442</v>
      </c>
      <c r="D155" s="184">
        <v>2100000</v>
      </c>
      <c r="E155" s="494" t="s">
        <v>1443</v>
      </c>
      <c r="F155" s="185"/>
      <c r="G155" s="185">
        <v>2526017</v>
      </c>
      <c r="H155" s="448" t="s">
        <v>1471</v>
      </c>
      <c r="I155" s="468">
        <f>420000/2</f>
        <v>210000</v>
      </c>
      <c r="J155" s="185">
        <f t="shared" si="22"/>
        <v>37800</v>
      </c>
      <c r="K155" s="56"/>
      <c r="L155" s="56"/>
      <c r="M155" s="56"/>
      <c r="N155" s="56"/>
      <c r="O155" s="185" t="s">
        <v>1077</v>
      </c>
      <c r="P155" s="185"/>
      <c r="Q155" s="185" t="s">
        <v>1019</v>
      </c>
      <c r="R155" s="420">
        <f t="shared" si="25"/>
        <v>226800</v>
      </c>
      <c r="S155" s="420">
        <v>283500</v>
      </c>
      <c r="T155" s="185" t="s">
        <v>1472</v>
      </c>
      <c r="U155" s="185" t="str">
        <f t="shared" si="26"/>
        <v>not clear</v>
      </c>
      <c r="V155" s="193"/>
      <c r="W155" s="52"/>
      <c r="X155" s="52"/>
    </row>
    <row r="156" spans="1:24" s="38" customFormat="1" ht="56.25" customHeight="1">
      <c r="A156" s="166"/>
      <c r="B156" s="182"/>
      <c r="C156" s="183" t="s">
        <v>1442</v>
      </c>
      <c r="D156" s="184">
        <v>2100000</v>
      </c>
      <c r="E156" s="494" t="s">
        <v>1443</v>
      </c>
      <c r="F156" s="183"/>
      <c r="G156" s="185">
        <v>2526017</v>
      </c>
      <c r="H156" s="448" t="s">
        <v>1473</v>
      </c>
      <c r="I156" s="468">
        <f>420000/2/2</f>
        <v>105000</v>
      </c>
      <c r="J156" s="185">
        <f t="shared" si="22"/>
        <v>18900</v>
      </c>
      <c r="K156" s="185"/>
      <c r="L156" s="185"/>
      <c r="M156" s="185"/>
      <c r="N156" s="185"/>
      <c r="O156" s="185" t="s">
        <v>1077</v>
      </c>
      <c r="P156" s="185"/>
      <c r="Q156" s="185" t="s">
        <v>1019</v>
      </c>
      <c r="R156" s="420">
        <f t="shared" si="25"/>
        <v>113400</v>
      </c>
      <c r="S156" s="420">
        <v>378000</v>
      </c>
      <c r="T156" s="185" t="s">
        <v>1472</v>
      </c>
      <c r="U156" s="185" t="str">
        <f t="shared" si="26"/>
        <v>not clear</v>
      </c>
      <c r="V156" s="193"/>
      <c r="W156" s="52"/>
      <c r="X156" s="52"/>
    </row>
    <row r="157" spans="1:24" s="38" customFormat="1">
      <c r="A157" s="166"/>
      <c r="B157" s="182"/>
      <c r="C157" s="183" t="s">
        <v>1338</v>
      </c>
      <c r="D157" s="184">
        <v>1735000</v>
      </c>
      <c r="E157" s="495" t="s">
        <v>1339</v>
      </c>
      <c r="F157" s="56">
        <v>2526012</v>
      </c>
      <c r="G157" s="185">
        <v>2526019</v>
      </c>
      <c r="H157" s="59" t="s">
        <v>1474</v>
      </c>
      <c r="I157" s="184">
        <f>173500*0.8</f>
        <v>138800</v>
      </c>
      <c r="J157" s="221">
        <f t="shared" si="22"/>
        <v>24984</v>
      </c>
      <c r="K157" s="372"/>
      <c r="L157" s="56"/>
      <c r="M157" s="56"/>
      <c r="N157" s="56"/>
      <c r="O157" s="185" t="s">
        <v>1475</v>
      </c>
      <c r="P157" s="185" t="s">
        <v>1476</v>
      </c>
      <c r="Q157" s="185" t="s">
        <v>1019</v>
      </c>
      <c r="R157" s="420">
        <f t="shared" si="25"/>
        <v>149904</v>
      </c>
      <c r="S157" s="420">
        <f t="shared" ref="S157:S164" si="27">R157</f>
        <v>149904</v>
      </c>
      <c r="T157" s="185" t="s">
        <v>1060</v>
      </c>
      <c r="U157" s="185" t="str">
        <f t="shared" si="26"/>
        <v>clear</v>
      </c>
      <c r="V157" s="193"/>
      <c r="W157" s="52"/>
      <c r="X157" s="52"/>
    </row>
    <row r="158" spans="1:24" s="38" customFormat="1" ht="30" customHeight="1">
      <c r="A158" s="166"/>
      <c r="B158" s="182"/>
      <c r="C158" s="370" t="s">
        <v>1289</v>
      </c>
      <c r="D158" s="184"/>
      <c r="E158" s="495"/>
      <c r="F158" s="185"/>
      <c r="G158" s="185">
        <v>2526021</v>
      </c>
      <c r="H158" s="59" t="s">
        <v>1477</v>
      </c>
      <c r="I158" s="44">
        <v>75000</v>
      </c>
      <c r="J158" s="185">
        <f t="shared" si="22"/>
        <v>13500</v>
      </c>
      <c r="K158" s="56"/>
      <c r="L158" s="56"/>
      <c r="M158" s="56"/>
      <c r="N158" s="56"/>
      <c r="O158" s="185" t="s">
        <v>1478</v>
      </c>
      <c r="P158" s="185"/>
      <c r="Q158" s="49" t="s">
        <v>1019</v>
      </c>
      <c r="R158" s="420">
        <f t="shared" si="25"/>
        <v>81000</v>
      </c>
      <c r="S158" s="420">
        <f t="shared" si="27"/>
        <v>81000</v>
      </c>
      <c r="T158" s="185" t="s">
        <v>1479</v>
      </c>
      <c r="U158" s="185" t="str">
        <f t="shared" si="26"/>
        <v>clear</v>
      </c>
      <c r="V158" s="193"/>
      <c r="W158" s="52"/>
      <c r="X158" s="52"/>
    </row>
    <row r="159" spans="1:24" s="38" customFormat="1" ht="30" customHeight="1">
      <c r="A159" s="166"/>
      <c r="B159" s="182"/>
      <c r="C159" s="370" t="s">
        <v>1289</v>
      </c>
      <c r="D159" s="184"/>
      <c r="E159" s="495"/>
      <c r="F159" s="440"/>
      <c r="G159" s="440">
        <v>2526021</v>
      </c>
      <c r="H159" s="59" t="s">
        <v>1480</v>
      </c>
      <c r="I159" s="184">
        <v>75000</v>
      </c>
      <c r="J159" s="185">
        <f t="shared" si="22"/>
        <v>13500</v>
      </c>
      <c r="K159" s="56"/>
      <c r="L159" s="56"/>
      <c r="M159" s="56"/>
      <c r="N159" s="56"/>
      <c r="O159" s="185" t="s">
        <v>1478</v>
      </c>
      <c r="P159" s="185"/>
      <c r="Q159" s="49" t="s">
        <v>1019</v>
      </c>
      <c r="R159" s="420">
        <f t="shared" si="25"/>
        <v>81000</v>
      </c>
      <c r="S159" s="420">
        <f t="shared" si="27"/>
        <v>81000</v>
      </c>
      <c r="T159" s="185" t="s">
        <v>1479</v>
      </c>
      <c r="U159" s="185" t="str">
        <f t="shared" si="26"/>
        <v>clear</v>
      </c>
      <c r="V159" s="193"/>
      <c r="W159" s="52"/>
      <c r="X159" s="52"/>
    </row>
    <row r="160" spans="1:24" s="38" customFormat="1" ht="30" customHeight="1">
      <c r="A160" s="166"/>
      <c r="B160" s="182"/>
      <c r="C160" s="370" t="s">
        <v>1293</v>
      </c>
      <c r="D160" s="184"/>
      <c r="E160" s="495"/>
      <c r="F160" s="185"/>
      <c r="G160" s="185">
        <v>2526022</v>
      </c>
      <c r="H160" s="59" t="s">
        <v>1481</v>
      </c>
      <c r="I160" s="44">
        <v>50000</v>
      </c>
      <c r="J160" s="185">
        <f t="shared" si="22"/>
        <v>9000</v>
      </c>
      <c r="K160" s="56"/>
      <c r="L160" s="56"/>
      <c r="M160" s="56"/>
      <c r="N160" s="56"/>
      <c r="O160" s="185" t="s">
        <v>1478</v>
      </c>
      <c r="P160" s="185"/>
      <c r="Q160" s="49" t="s">
        <v>1019</v>
      </c>
      <c r="R160" s="420">
        <f t="shared" si="25"/>
        <v>54000</v>
      </c>
      <c r="S160" s="420">
        <f t="shared" si="27"/>
        <v>54000</v>
      </c>
      <c r="T160" s="185" t="s">
        <v>1482</v>
      </c>
      <c r="U160" s="185" t="str">
        <f t="shared" si="26"/>
        <v>clear</v>
      </c>
      <c r="V160" s="193"/>
      <c r="W160" s="166"/>
      <c r="X160" s="166"/>
    </row>
    <row r="161" spans="1:24" s="38" customFormat="1" ht="30" customHeight="1">
      <c r="A161" s="166"/>
      <c r="B161" s="182"/>
      <c r="C161" s="370" t="s">
        <v>1293</v>
      </c>
      <c r="D161" s="184"/>
      <c r="E161" s="495"/>
      <c r="F161" s="185"/>
      <c r="G161" s="440">
        <v>2526022</v>
      </c>
      <c r="H161" s="59" t="s">
        <v>1480</v>
      </c>
      <c r="I161" s="44">
        <v>50000</v>
      </c>
      <c r="J161" s="185">
        <f t="shared" si="22"/>
        <v>9000</v>
      </c>
      <c r="K161" s="56"/>
      <c r="L161" s="56"/>
      <c r="M161" s="56"/>
      <c r="N161" s="56"/>
      <c r="O161" s="185" t="s">
        <v>1478</v>
      </c>
      <c r="P161" s="185"/>
      <c r="Q161" s="49" t="s">
        <v>1019</v>
      </c>
      <c r="R161" s="420">
        <f t="shared" si="25"/>
        <v>54000</v>
      </c>
      <c r="S161" s="420">
        <f t="shared" si="27"/>
        <v>54000</v>
      </c>
      <c r="T161" s="185" t="s">
        <v>1482</v>
      </c>
      <c r="U161" s="185" t="str">
        <f t="shared" si="26"/>
        <v>clear</v>
      </c>
      <c r="V161" s="193"/>
      <c r="W161" s="52"/>
      <c r="X161" s="52"/>
    </row>
    <row r="162" spans="1:24" s="38" customFormat="1">
      <c r="A162" s="166"/>
      <c r="B162" s="182"/>
      <c r="C162" s="183" t="s">
        <v>1354</v>
      </c>
      <c r="D162" s="184">
        <v>5500000</v>
      </c>
      <c r="E162" s="495" t="s">
        <v>1355</v>
      </c>
      <c r="F162" s="56"/>
      <c r="G162" s="185">
        <v>2526023</v>
      </c>
      <c r="H162" s="59" t="s">
        <v>1483</v>
      </c>
      <c r="I162" s="372">
        <f>825000*0.15</f>
        <v>123750</v>
      </c>
      <c r="J162" s="185">
        <f t="shared" si="22"/>
        <v>22275</v>
      </c>
      <c r="K162" s="56"/>
      <c r="L162" s="56" t="s">
        <v>973</v>
      </c>
      <c r="M162" s="56"/>
      <c r="N162" s="56"/>
      <c r="O162" s="185" t="s">
        <v>1466</v>
      </c>
      <c r="P162" s="185"/>
      <c r="Q162" s="185" t="s">
        <v>1019</v>
      </c>
      <c r="R162" s="420">
        <f t="shared" si="25"/>
        <v>133650</v>
      </c>
      <c r="S162" s="420">
        <f t="shared" si="27"/>
        <v>133650</v>
      </c>
      <c r="T162" s="185" t="s">
        <v>1484</v>
      </c>
      <c r="U162" s="185" t="str">
        <f t="shared" si="26"/>
        <v>clear</v>
      </c>
      <c r="V162" s="193"/>
      <c r="W162" s="52"/>
      <c r="X162" s="52"/>
    </row>
    <row r="163" spans="1:24" s="38" customFormat="1">
      <c r="A163" s="166"/>
      <c r="B163" s="182"/>
      <c r="C163" s="183" t="s">
        <v>1354</v>
      </c>
      <c r="D163" s="184">
        <v>5500000</v>
      </c>
      <c r="E163" s="495" t="s">
        <v>1355</v>
      </c>
      <c r="F163" s="56"/>
      <c r="G163" s="440">
        <v>2526023</v>
      </c>
      <c r="H163" s="59" t="s">
        <v>1485</v>
      </c>
      <c r="I163" s="372">
        <f>1100000*0.4</f>
        <v>440000</v>
      </c>
      <c r="J163" s="185">
        <f t="shared" si="22"/>
        <v>79200</v>
      </c>
      <c r="K163" s="56" t="s">
        <v>1019</v>
      </c>
      <c r="L163" s="56"/>
      <c r="M163" s="56"/>
      <c r="N163" s="56"/>
      <c r="O163" s="185" t="s">
        <v>1466</v>
      </c>
      <c r="P163" s="185"/>
      <c r="Q163" s="185" t="s">
        <v>1019</v>
      </c>
      <c r="R163" s="420">
        <f t="shared" si="25"/>
        <v>475200</v>
      </c>
      <c r="S163" s="420">
        <f t="shared" si="27"/>
        <v>475200</v>
      </c>
      <c r="T163" s="185" t="s">
        <v>1484</v>
      </c>
      <c r="U163" s="185" t="str">
        <f t="shared" si="26"/>
        <v>clear</v>
      </c>
      <c r="V163" s="193"/>
      <c r="W163" s="52"/>
      <c r="X163" s="52"/>
    </row>
    <row r="164" spans="1:24" s="38" customFormat="1">
      <c r="A164" s="166"/>
      <c r="B164" s="182"/>
      <c r="C164" s="183" t="s">
        <v>1453</v>
      </c>
      <c r="D164" s="184">
        <v>1250000</v>
      </c>
      <c r="E164" s="495" t="s">
        <v>1454</v>
      </c>
      <c r="F164" s="185"/>
      <c r="G164" s="440">
        <v>2526024</v>
      </c>
      <c r="H164" s="59" t="s">
        <v>763</v>
      </c>
      <c r="I164" s="372">
        <v>150000</v>
      </c>
      <c r="J164" s="185">
        <f t="shared" si="22"/>
        <v>27000</v>
      </c>
      <c r="K164" s="56"/>
      <c r="L164" s="56"/>
      <c r="M164" s="56"/>
      <c r="N164" s="56"/>
      <c r="O164" s="185" t="s">
        <v>1081</v>
      </c>
      <c r="P164" s="185"/>
      <c r="Q164" s="185" t="s">
        <v>1019</v>
      </c>
      <c r="R164" s="420">
        <f t="shared" si="25"/>
        <v>162000</v>
      </c>
      <c r="S164" s="420">
        <f t="shared" si="27"/>
        <v>162000</v>
      </c>
      <c r="T164" s="185" t="s">
        <v>1102</v>
      </c>
      <c r="U164" s="185" t="str">
        <f t="shared" si="26"/>
        <v>clear</v>
      </c>
      <c r="V164" s="193"/>
      <c r="W164" s="166"/>
      <c r="X164" s="166"/>
    </row>
    <row r="165" spans="1:24" s="38" customFormat="1">
      <c r="A165" s="166"/>
      <c r="B165" s="182"/>
      <c r="C165" s="183" t="s">
        <v>1219</v>
      </c>
      <c r="D165" s="184">
        <v>4300000</v>
      </c>
      <c r="E165" s="495" t="s">
        <v>1339</v>
      </c>
      <c r="F165" s="185"/>
      <c r="G165" s="185">
        <v>2526025</v>
      </c>
      <c r="H165" s="183" t="s">
        <v>1486</v>
      </c>
      <c r="I165" s="184">
        <f>0.15*D165</f>
        <v>645000</v>
      </c>
      <c r="J165" s="185">
        <f t="shared" si="22"/>
        <v>116100</v>
      </c>
      <c r="K165" s="56"/>
      <c r="L165" s="56"/>
      <c r="M165" s="56"/>
      <c r="N165" s="56"/>
      <c r="O165" s="185" t="s">
        <v>1042</v>
      </c>
      <c r="P165" s="185"/>
      <c r="Q165" s="49" t="s">
        <v>1019</v>
      </c>
      <c r="R165" s="420">
        <f t="shared" si="25"/>
        <v>696600</v>
      </c>
      <c r="S165" s="420">
        <f>116102+580510</f>
        <v>696612</v>
      </c>
      <c r="T165" s="185" t="s">
        <v>1487</v>
      </c>
      <c r="U165" s="185" t="s">
        <v>1462</v>
      </c>
      <c r="V165" s="193"/>
      <c r="W165" s="166"/>
      <c r="X165" s="166"/>
    </row>
    <row r="166" spans="1:24" s="38" customFormat="1">
      <c r="A166" s="166"/>
      <c r="B166" s="182"/>
      <c r="C166" s="183" t="s">
        <v>1341</v>
      </c>
      <c r="D166" s="184">
        <v>1400000</v>
      </c>
      <c r="E166" s="495" t="s">
        <v>1342</v>
      </c>
      <c r="F166" s="56"/>
      <c r="G166" s="185">
        <v>2526026</v>
      </c>
      <c r="H166" s="234" t="s">
        <v>770</v>
      </c>
      <c r="I166" s="49">
        <v>70000</v>
      </c>
      <c r="J166" s="185">
        <f t="shared" si="22"/>
        <v>12600</v>
      </c>
      <c r="K166" s="56"/>
      <c r="L166" s="56"/>
      <c r="M166" s="56"/>
      <c r="N166" s="56"/>
      <c r="O166" s="185" t="s">
        <v>1488</v>
      </c>
      <c r="P166" s="185"/>
      <c r="Q166" s="185" t="s">
        <v>1019</v>
      </c>
      <c r="R166" s="420">
        <f t="shared" si="25"/>
        <v>75600</v>
      </c>
      <c r="S166" s="420">
        <f>R166</f>
        <v>75600</v>
      </c>
      <c r="T166" s="185" t="s">
        <v>1489</v>
      </c>
      <c r="U166" s="185" t="str">
        <f t="shared" ref="U166:U173" si="28">IF(S166=R166, "clear", "not clear")</f>
        <v>clear</v>
      </c>
      <c r="V166" s="193"/>
      <c r="W166" s="166"/>
      <c r="X166" s="166"/>
    </row>
    <row r="167" spans="1:24" s="38" customFormat="1">
      <c r="A167" s="166"/>
      <c r="B167" s="182"/>
      <c r="C167" s="183" t="s">
        <v>1341</v>
      </c>
      <c r="D167" s="184">
        <v>1400000</v>
      </c>
      <c r="E167" s="495" t="s">
        <v>1342</v>
      </c>
      <c r="F167" s="56"/>
      <c r="G167" s="185">
        <v>2526026</v>
      </c>
      <c r="H167" s="234" t="s">
        <v>771</v>
      </c>
      <c r="I167" s="49">
        <v>70000</v>
      </c>
      <c r="J167" s="185">
        <f t="shared" si="22"/>
        <v>12600</v>
      </c>
      <c r="K167" s="56"/>
      <c r="L167" s="56"/>
      <c r="M167" s="56"/>
      <c r="N167" s="56"/>
      <c r="O167" s="185" t="s">
        <v>1488</v>
      </c>
      <c r="P167" s="185"/>
      <c r="Q167" s="185" t="s">
        <v>1019</v>
      </c>
      <c r="R167" s="420">
        <f t="shared" si="25"/>
        <v>75600</v>
      </c>
      <c r="S167" s="420">
        <f>R167</f>
        <v>75600</v>
      </c>
      <c r="T167" s="185" t="s">
        <v>1490</v>
      </c>
      <c r="U167" s="185" t="str">
        <f t="shared" si="28"/>
        <v>clear</v>
      </c>
      <c r="V167" s="193"/>
      <c r="W167" s="166"/>
      <c r="X167" s="166"/>
    </row>
    <row r="168" spans="1:24" s="38" customFormat="1" ht="15.75" customHeight="1" thickBot="1">
      <c r="A168" s="166"/>
      <c r="B168" s="182"/>
      <c r="C168" s="183" t="s">
        <v>1042</v>
      </c>
      <c r="D168" s="184">
        <v>3000000</v>
      </c>
      <c r="E168" s="495" t="s">
        <v>1491</v>
      </c>
      <c r="F168" s="185"/>
      <c r="G168" s="440">
        <v>2526027</v>
      </c>
      <c r="H168" s="463" t="s">
        <v>780</v>
      </c>
      <c r="I168" s="402">
        <v>450000</v>
      </c>
      <c r="J168" s="185">
        <f t="shared" si="22"/>
        <v>81000</v>
      </c>
      <c r="K168" s="56"/>
      <c r="L168" s="56"/>
      <c r="M168" s="56"/>
      <c r="N168" s="56"/>
      <c r="O168" s="185" t="s">
        <v>1492</v>
      </c>
      <c r="P168" s="185"/>
      <c r="Q168" s="185" t="s">
        <v>1019</v>
      </c>
      <c r="R168" s="420">
        <f>I168+J168-(I168*0.02)</f>
        <v>522000</v>
      </c>
      <c r="S168" s="420">
        <f>R168</f>
        <v>522000</v>
      </c>
      <c r="T168" s="185" t="s">
        <v>1493</v>
      </c>
      <c r="U168" s="185" t="str">
        <f t="shared" si="28"/>
        <v>clear</v>
      </c>
      <c r="V168" s="193"/>
      <c r="W168" s="166"/>
      <c r="X168" s="166"/>
    </row>
    <row r="169" spans="1:24" s="38" customFormat="1" ht="15.75" customHeight="1" thickBot="1">
      <c r="A169" s="166"/>
      <c r="B169" s="182"/>
      <c r="C169" s="183" t="s">
        <v>1400</v>
      </c>
      <c r="D169" s="184">
        <v>3500000</v>
      </c>
      <c r="E169" s="495" t="s">
        <v>1368</v>
      </c>
      <c r="F169" s="185"/>
      <c r="G169" s="440">
        <v>2526028</v>
      </c>
      <c r="H169" s="463" t="s">
        <v>1494</v>
      </c>
      <c r="I169" s="184">
        <f>525000*0.4</f>
        <v>210000</v>
      </c>
      <c r="J169" s="185">
        <f t="shared" si="22"/>
        <v>37800</v>
      </c>
      <c r="K169" s="185"/>
      <c r="L169" s="185" t="s">
        <v>1019</v>
      </c>
      <c r="M169" s="420">
        <v>567000</v>
      </c>
      <c r="N169" s="56"/>
      <c r="O169" s="185" t="s">
        <v>1492</v>
      </c>
      <c r="P169" s="185"/>
      <c r="Q169" s="185" t="s">
        <v>1019</v>
      </c>
      <c r="R169" s="420">
        <f>I169+J169-(I169*0.1)</f>
        <v>226800</v>
      </c>
      <c r="S169" s="423">
        <f>R169</f>
        <v>226800</v>
      </c>
      <c r="T169" s="185" t="s">
        <v>1495</v>
      </c>
      <c r="U169" s="185" t="str">
        <f t="shared" si="28"/>
        <v>clear</v>
      </c>
      <c r="V169" s="193"/>
      <c r="W169" s="166"/>
      <c r="X169" s="166"/>
    </row>
    <row r="170" spans="1:24" s="38" customFormat="1" ht="15.75" customHeight="1" thickBot="1">
      <c r="A170" s="166"/>
      <c r="B170" s="182"/>
      <c r="C170" s="183" t="s">
        <v>1400</v>
      </c>
      <c r="D170" s="184">
        <v>3500000</v>
      </c>
      <c r="E170" s="495" t="s">
        <v>1368</v>
      </c>
      <c r="F170" s="56"/>
      <c r="G170" s="186">
        <v>2526028</v>
      </c>
      <c r="H170" s="463" t="s">
        <v>1401</v>
      </c>
      <c r="I170" s="184">
        <f>350000/2</f>
        <v>175000</v>
      </c>
      <c r="J170" s="185">
        <f t="shared" si="22"/>
        <v>31500</v>
      </c>
      <c r="K170" s="56"/>
      <c r="L170" s="56"/>
      <c r="M170" s="56"/>
      <c r="N170" s="56"/>
      <c r="O170" s="185" t="s">
        <v>1492</v>
      </c>
      <c r="P170" s="185"/>
      <c r="Q170" s="185" t="s">
        <v>1019</v>
      </c>
      <c r="R170" s="420">
        <f>I170+J170-(I170*0.1)</f>
        <v>189000</v>
      </c>
      <c r="S170" s="420">
        <f>R170</f>
        <v>189000</v>
      </c>
      <c r="T170" s="185" t="s">
        <v>1495</v>
      </c>
      <c r="U170" s="185" t="str">
        <f t="shared" si="28"/>
        <v>clear</v>
      </c>
      <c r="V170" s="193"/>
      <c r="W170" s="166"/>
      <c r="X170" s="166"/>
    </row>
    <row r="171" spans="1:24" s="38" customFormat="1" ht="14.65" customHeight="1">
      <c r="A171" s="166"/>
      <c r="B171" s="182"/>
      <c r="C171" s="183" t="s">
        <v>1400</v>
      </c>
      <c r="D171" s="184">
        <v>3500000</v>
      </c>
      <c r="E171" s="495" t="s">
        <v>1368</v>
      </c>
      <c r="F171" s="185"/>
      <c r="G171" s="186">
        <v>2526030</v>
      </c>
      <c r="H171" s="386" t="s">
        <v>1496</v>
      </c>
      <c r="I171" s="440">
        <f>D171*15%*0.4</f>
        <v>210000</v>
      </c>
      <c r="J171" s="185">
        <f t="shared" si="22"/>
        <v>37800</v>
      </c>
      <c r="K171" s="56"/>
      <c r="L171" s="56"/>
      <c r="M171" s="56"/>
      <c r="N171" s="56"/>
      <c r="O171" s="185" t="s">
        <v>1497</v>
      </c>
      <c r="P171" s="185"/>
      <c r="Q171" s="185" t="s">
        <v>1019</v>
      </c>
      <c r="R171" s="420">
        <f>I171+J171-(I171*0.1)</f>
        <v>226800</v>
      </c>
      <c r="S171" s="423">
        <v>226800</v>
      </c>
      <c r="T171" s="185" t="s">
        <v>1498</v>
      </c>
      <c r="U171" s="185" t="str">
        <f t="shared" si="28"/>
        <v>clear</v>
      </c>
      <c r="V171" s="193"/>
      <c r="W171" s="166"/>
      <c r="X171" s="166"/>
    </row>
    <row r="172" spans="1:24" s="38" customFormat="1" ht="14.65" customHeight="1">
      <c r="A172" s="166"/>
      <c r="B172" s="182"/>
      <c r="C172" s="183" t="s">
        <v>1432</v>
      </c>
      <c r="D172" s="184"/>
      <c r="E172" s="495" t="s">
        <v>1430</v>
      </c>
      <c r="F172" s="98"/>
      <c r="G172" s="185">
        <v>2526031</v>
      </c>
      <c r="H172" s="204" t="s">
        <v>751</v>
      </c>
      <c r="I172" s="63">
        <v>225000</v>
      </c>
      <c r="J172" s="440">
        <f t="shared" si="22"/>
        <v>40500</v>
      </c>
      <c r="K172" s="98"/>
      <c r="L172" s="98"/>
      <c r="M172" s="98"/>
      <c r="N172" s="98"/>
      <c r="O172" s="185" t="s">
        <v>1499</v>
      </c>
      <c r="P172" s="440"/>
      <c r="Q172" s="440" t="s">
        <v>1019</v>
      </c>
      <c r="R172" s="422">
        <f>I172+J172-(I172*0.1)</f>
        <v>243000</v>
      </c>
      <c r="S172" s="422">
        <f>R172</f>
        <v>243000</v>
      </c>
      <c r="T172" s="440" t="s">
        <v>1492</v>
      </c>
      <c r="U172" s="440" t="str">
        <f t="shared" si="28"/>
        <v>clear</v>
      </c>
      <c r="V172" s="440"/>
      <c r="W172" s="166"/>
      <c r="X172" s="166"/>
    </row>
    <row r="173" spans="1:24" ht="14.65" customHeight="1">
      <c r="B173" s="182"/>
      <c r="C173" s="183" t="s">
        <v>1429</v>
      </c>
      <c r="D173" s="184"/>
      <c r="E173" s="496" t="s">
        <v>1430</v>
      </c>
      <c r="F173" s="98"/>
      <c r="G173" s="185">
        <v>2526031</v>
      </c>
      <c r="H173" s="204" t="s">
        <v>751</v>
      </c>
      <c r="I173" s="63">
        <v>225000</v>
      </c>
      <c r="J173" s="221">
        <f t="shared" si="22"/>
        <v>40500</v>
      </c>
      <c r="K173" s="98"/>
      <c r="L173" s="98"/>
      <c r="M173" s="98"/>
      <c r="N173" s="98"/>
      <c r="O173" s="440" t="s">
        <v>1499</v>
      </c>
      <c r="P173" s="440"/>
      <c r="Q173" s="440" t="s">
        <v>1019</v>
      </c>
      <c r="R173" s="240">
        <f>I173+J173-(I173*0.1)</f>
        <v>243000</v>
      </c>
      <c r="S173" s="241">
        <f>R173</f>
        <v>243000</v>
      </c>
      <c r="T173" s="166" t="s">
        <v>1492</v>
      </c>
      <c r="U173" s="440" t="str">
        <f t="shared" si="28"/>
        <v>clear</v>
      </c>
      <c r="V173" s="440"/>
    </row>
    <row r="174" spans="1:24" ht="14.65" customHeight="1">
      <c r="B174" s="182"/>
      <c r="C174" s="183" t="s">
        <v>1457</v>
      </c>
      <c r="D174" s="184" t="s">
        <v>1458</v>
      </c>
      <c r="E174" s="496" t="s">
        <v>1459</v>
      </c>
      <c r="F174" s="440"/>
      <c r="G174" s="440">
        <v>2526032</v>
      </c>
      <c r="H174" s="204" t="s">
        <v>751</v>
      </c>
      <c r="I174" s="206">
        <f>P174*87</f>
        <v>1131000</v>
      </c>
      <c r="J174" s="440"/>
      <c r="K174" s="98"/>
      <c r="L174" s="98"/>
      <c r="M174" s="98"/>
      <c r="N174" s="98"/>
      <c r="O174" s="440" t="s">
        <v>1500</v>
      </c>
      <c r="P174" s="63">
        <v>13000</v>
      </c>
      <c r="Q174" s="440" t="s">
        <v>1019</v>
      </c>
      <c r="R174" s="422">
        <f>I174</f>
        <v>1131000</v>
      </c>
      <c r="S174" s="422">
        <v>1146210</v>
      </c>
      <c r="T174" s="440" t="s">
        <v>1501</v>
      </c>
      <c r="U174" s="440" t="s">
        <v>1462</v>
      </c>
      <c r="V174" s="440"/>
    </row>
    <row r="175" spans="1:24" ht="14.65" customHeight="1">
      <c r="B175" s="182"/>
      <c r="C175" s="183" t="s">
        <v>1502</v>
      </c>
      <c r="D175" s="184">
        <v>2000000</v>
      </c>
      <c r="E175" s="497" t="s">
        <v>1503</v>
      </c>
      <c r="G175" s="440">
        <v>2526033</v>
      </c>
      <c r="H175" s="386" t="s">
        <v>274</v>
      </c>
      <c r="I175" s="206">
        <f>D175*0.2</f>
        <v>400000</v>
      </c>
      <c r="J175" s="440">
        <f t="shared" ref="J175:J183" si="29">I175*0.18</f>
        <v>72000</v>
      </c>
      <c r="K175" s="98"/>
      <c r="L175" s="98"/>
      <c r="M175" s="98"/>
      <c r="N175" s="98"/>
      <c r="O175" s="440" t="s">
        <v>1504</v>
      </c>
      <c r="P175" s="440"/>
      <c r="Q175" s="440" t="s">
        <v>1019</v>
      </c>
      <c r="R175" s="422">
        <f t="shared" ref="R175:R194" si="30">I175+J175-(I175*0.1)</f>
        <v>432000</v>
      </c>
      <c r="S175" s="241">
        <f t="shared" ref="S175:S180" si="31">R175</f>
        <v>432000</v>
      </c>
      <c r="T175" s="166" t="s">
        <v>1492</v>
      </c>
      <c r="U175" s="166" t="str">
        <f t="shared" ref="U175:U183" si="32">IF(S175=R175, "clear", "not clear")</f>
        <v>clear</v>
      </c>
    </row>
    <row r="176" spans="1:24" ht="14.65" customHeight="1">
      <c r="B176" s="182"/>
      <c r="C176" s="183" t="s">
        <v>1505</v>
      </c>
      <c r="D176" s="184">
        <v>850000</v>
      </c>
      <c r="E176" s="497" t="s">
        <v>1503</v>
      </c>
      <c r="G176" s="166">
        <v>2526033</v>
      </c>
      <c r="H176" s="386" t="s">
        <v>274</v>
      </c>
      <c r="I176" s="168">
        <f>D176*0.2</f>
        <v>170000</v>
      </c>
      <c r="J176" s="166">
        <f t="shared" si="29"/>
        <v>30600</v>
      </c>
      <c r="O176" s="166" t="s">
        <v>1504</v>
      </c>
      <c r="Q176" s="440" t="s">
        <v>1019</v>
      </c>
      <c r="R176" s="420">
        <f t="shared" si="30"/>
        <v>183600</v>
      </c>
      <c r="S176" s="420">
        <f t="shared" si="31"/>
        <v>183600</v>
      </c>
      <c r="T176" s="166" t="s">
        <v>1492</v>
      </c>
      <c r="U176" s="166" t="str">
        <f t="shared" si="32"/>
        <v>clear</v>
      </c>
    </row>
    <row r="177" spans="1:24" ht="14.65" customHeight="1">
      <c r="B177" s="182"/>
      <c r="C177" s="183" t="s">
        <v>1506</v>
      </c>
      <c r="D177" s="184">
        <v>750000</v>
      </c>
      <c r="E177" s="497" t="s">
        <v>1503</v>
      </c>
      <c r="G177" s="166">
        <v>2526033</v>
      </c>
      <c r="H177" s="386" t="s">
        <v>274</v>
      </c>
      <c r="I177" s="168">
        <f>D177*0.2</f>
        <v>150000</v>
      </c>
      <c r="J177" s="166">
        <f t="shared" si="29"/>
        <v>27000</v>
      </c>
      <c r="O177" s="166" t="s">
        <v>1504</v>
      </c>
      <c r="Q177" s="440" t="s">
        <v>1019</v>
      </c>
      <c r="R177" s="420">
        <f t="shared" si="30"/>
        <v>162000</v>
      </c>
      <c r="S177" s="420">
        <f t="shared" si="31"/>
        <v>162000</v>
      </c>
      <c r="T177" s="166" t="s">
        <v>1492</v>
      </c>
      <c r="U177" s="166" t="str">
        <f t="shared" si="32"/>
        <v>clear</v>
      </c>
    </row>
    <row r="178" spans="1:24" ht="14.65" customHeight="1">
      <c r="B178" s="182"/>
      <c r="C178" s="205" t="s">
        <v>1367</v>
      </c>
      <c r="D178" s="168">
        <v>1500000</v>
      </c>
      <c r="E178" s="497" t="s">
        <v>1368</v>
      </c>
      <c r="F178" s="52"/>
      <c r="G178" s="185">
        <v>2526034</v>
      </c>
      <c r="H178" s="466" t="s">
        <v>1507</v>
      </c>
      <c r="I178" s="166">
        <f>D178*5%</f>
        <v>75000</v>
      </c>
      <c r="J178" s="185">
        <f t="shared" si="29"/>
        <v>13500</v>
      </c>
      <c r="K178" s="56"/>
      <c r="L178" s="56"/>
      <c r="M178" s="56"/>
      <c r="N178" s="56"/>
      <c r="O178" s="185" t="s">
        <v>1508</v>
      </c>
      <c r="P178" s="185"/>
      <c r="Q178" s="185" t="s">
        <v>1019</v>
      </c>
      <c r="R178" s="240">
        <f t="shared" si="30"/>
        <v>81000</v>
      </c>
      <c r="S178" s="420">
        <f t="shared" si="31"/>
        <v>81000</v>
      </c>
      <c r="T178" s="166" t="s">
        <v>1495</v>
      </c>
      <c r="U178" s="166" t="str">
        <f t="shared" si="32"/>
        <v>clear</v>
      </c>
    </row>
    <row r="179" spans="1:24" ht="14.65" customHeight="1">
      <c r="B179" s="182"/>
      <c r="C179" s="205" t="s">
        <v>1422</v>
      </c>
      <c r="D179" s="168">
        <v>1800000</v>
      </c>
      <c r="E179" s="497" t="s">
        <v>1423</v>
      </c>
      <c r="G179" s="166">
        <v>2526035</v>
      </c>
      <c r="H179" s="172" t="s">
        <v>653</v>
      </c>
      <c r="I179" s="168">
        <f>1800000*0.2</f>
        <v>360000</v>
      </c>
      <c r="J179" s="185">
        <f t="shared" si="29"/>
        <v>64800</v>
      </c>
      <c r="K179" s="56"/>
      <c r="L179" s="56"/>
      <c r="M179" s="56"/>
      <c r="N179" s="56"/>
      <c r="O179" s="185" t="s">
        <v>1509</v>
      </c>
      <c r="P179" s="185"/>
      <c r="Q179" s="185" t="s">
        <v>1019</v>
      </c>
      <c r="R179" s="240">
        <f t="shared" si="30"/>
        <v>388800</v>
      </c>
      <c r="S179" s="420">
        <f t="shared" si="31"/>
        <v>388800</v>
      </c>
      <c r="T179" s="166" t="s">
        <v>1510</v>
      </c>
      <c r="U179" s="166" t="str">
        <f t="shared" si="32"/>
        <v>clear</v>
      </c>
    </row>
    <row r="180" spans="1:24" s="38" customFormat="1" ht="30" customHeight="1">
      <c r="A180" s="166"/>
      <c r="B180" s="182"/>
      <c r="C180" s="373" t="s">
        <v>1289</v>
      </c>
      <c r="D180" s="168"/>
      <c r="E180" s="497"/>
      <c r="F180" s="166"/>
      <c r="G180" s="166">
        <v>2526036</v>
      </c>
      <c r="H180" s="378" t="s">
        <v>1511</v>
      </c>
      <c r="I180" s="62">
        <v>75000</v>
      </c>
      <c r="J180" s="185">
        <f t="shared" si="29"/>
        <v>13500</v>
      </c>
      <c r="K180" s="56"/>
      <c r="L180" s="56"/>
      <c r="M180" s="56"/>
      <c r="N180" s="56"/>
      <c r="O180" s="185" t="s">
        <v>1509</v>
      </c>
      <c r="P180" s="185"/>
      <c r="Q180" s="49" t="s">
        <v>1019</v>
      </c>
      <c r="R180" s="240">
        <f t="shared" si="30"/>
        <v>81000</v>
      </c>
      <c r="S180" s="420">
        <f t="shared" si="31"/>
        <v>81000</v>
      </c>
      <c r="T180" s="166" t="s">
        <v>1089</v>
      </c>
      <c r="U180" s="166" t="str">
        <f t="shared" si="32"/>
        <v>clear</v>
      </c>
      <c r="V180" s="166"/>
      <c r="W180" s="166"/>
      <c r="X180" s="166"/>
    </row>
    <row r="181" spans="1:24" s="38" customFormat="1" ht="30" customHeight="1">
      <c r="A181" s="166"/>
      <c r="B181" s="182"/>
      <c r="C181" s="373" t="s">
        <v>1293</v>
      </c>
      <c r="D181" s="206"/>
      <c r="E181" s="497"/>
      <c r="F181" s="166"/>
      <c r="G181" s="440">
        <v>2526037</v>
      </c>
      <c r="H181" s="94" t="s">
        <v>1511</v>
      </c>
      <c r="I181" s="63">
        <v>50000</v>
      </c>
      <c r="J181" s="185">
        <f t="shared" si="29"/>
        <v>9000</v>
      </c>
      <c r="K181" s="56"/>
      <c r="L181" s="56"/>
      <c r="M181" s="56"/>
      <c r="N181" s="56"/>
      <c r="O181" s="185" t="s">
        <v>1509</v>
      </c>
      <c r="P181" s="185"/>
      <c r="Q181" s="49" t="s">
        <v>1019</v>
      </c>
      <c r="R181" s="420">
        <f t="shared" si="30"/>
        <v>54000</v>
      </c>
      <c r="S181" s="420"/>
      <c r="T181" s="166"/>
      <c r="U181" s="166" t="str">
        <f t="shared" si="32"/>
        <v>not clear</v>
      </c>
      <c r="V181" s="166"/>
      <c r="W181" s="166"/>
      <c r="X181" s="166"/>
    </row>
    <row r="182" spans="1:24" s="38" customFormat="1" ht="14.65" customHeight="1">
      <c r="A182" s="166"/>
      <c r="B182" s="182"/>
      <c r="C182" s="205" t="s">
        <v>1505</v>
      </c>
      <c r="D182" s="168">
        <v>850000</v>
      </c>
      <c r="E182" s="497" t="s">
        <v>1503</v>
      </c>
      <c r="F182" s="166"/>
      <c r="G182" s="166">
        <v>2526038</v>
      </c>
      <c r="H182" s="172" t="s">
        <v>653</v>
      </c>
      <c r="I182" s="168">
        <v>127500</v>
      </c>
      <c r="J182" s="185">
        <f t="shared" si="29"/>
        <v>22950</v>
      </c>
      <c r="K182" s="56"/>
      <c r="L182" s="56"/>
      <c r="M182" s="56"/>
      <c r="N182" s="56"/>
      <c r="O182" s="185" t="s">
        <v>1512</v>
      </c>
      <c r="P182" s="185"/>
      <c r="Q182" s="185" t="s">
        <v>1019</v>
      </c>
      <c r="R182" s="420">
        <f t="shared" si="30"/>
        <v>137700</v>
      </c>
      <c r="S182" s="420">
        <f>R182</f>
        <v>137700</v>
      </c>
      <c r="T182" s="166" t="s">
        <v>1513</v>
      </c>
      <c r="U182" s="166" t="str">
        <f t="shared" si="32"/>
        <v>clear</v>
      </c>
      <c r="V182" s="166"/>
      <c r="W182" s="166"/>
      <c r="X182" s="166"/>
    </row>
    <row r="183" spans="1:24" s="38" customFormat="1" ht="14.65" customHeight="1">
      <c r="A183" s="166"/>
      <c r="B183" s="182"/>
      <c r="C183" s="205" t="s">
        <v>1505</v>
      </c>
      <c r="D183" s="168">
        <v>850000</v>
      </c>
      <c r="E183" s="497" t="s">
        <v>1503</v>
      </c>
      <c r="F183" s="166"/>
      <c r="G183" s="166">
        <v>2526038</v>
      </c>
      <c r="H183" s="172" t="s">
        <v>551</v>
      </c>
      <c r="I183" s="168">
        <v>127500</v>
      </c>
      <c r="J183" s="221">
        <f t="shared" si="29"/>
        <v>22950</v>
      </c>
      <c r="K183" s="163"/>
      <c r="L183" s="52"/>
      <c r="M183" s="52"/>
      <c r="N183" s="163"/>
      <c r="O183" s="166" t="s">
        <v>1512</v>
      </c>
      <c r="P183" s="166"/>
      <c r="Q183" s="185" t="s">
        <v>1019</v>
      </c>
      <c r="R183" s="240">
        <f t="shared" si="30"/>
        <v>137700</v>
      </c>
      <c r="S183" s="241">
        <f>R183</f>
        <v>137700</v>
      </c>
      <c r="T183" s="166" t="s">
        <v>1513</v>
      </c>
      <c r="U183" s="166" t="str">
        <f t="shared" si="32"/>
        <v>clear</v>
      </c>
      <c r="V183" s="166"/>
      <c r="W183" s="166"/>
      <c r="X183" s="166"/>
    </row>
    <row r="184" spans="1:24" s="38" customFormat="1" ht="56.25" customHeight="1">
      <c r="A184" s="166"/>
      <c r="B184" s="182"/>
      <c r="C184" s="205" t="s">
        <v>1442</v>
      </c>
      <c r="D184" s="206">
        <v>2100000</v>
      </c>
      <c r="E184" s="498" t="s">
        <v>1443</v>
      </c>
      <c r="F184" s="166"/>
      <c r="G184" s="175">
        <v>2526039</v>
      </c>
      <c r="H184" s="387" t="s">
        <v>1514</v>
      </c>
      <c r="I184" s="409">
        <f>420000/2</f>
        <v>210000</v>
      </c>
      <c r="J184" s="163"/>
      <c r="K184" s="163"/>
      <c r="L184" s="98"/>
      <c r="M184" s="98"/>
      <c r="N184" s="163"/>
      <c r="O184" s="440"/>
      <c r="P184" s="440"/>
      <c r="Q184" s="56" t="s">
        <v>1124</v>
      </c>
      <c r="R184" s="240">
        <f t="shared" si="30"/>
        <v>189000</v>
      </c>
      <c r="S184" s="166">
        <v>283500</v>
      </c>
      <c r="T184" s="166"/>
      <c r="U184" s="166" t="s">
        <v>1462</v>
      </c>
      <c r="V184" s="166"/>
      <c r="W184" s="166"/>
      <c r="X184" s="166"/>
    </row>
    <row r="185" spans="1:24" s="226" customFormat="1" ht="56.25" customHeight="1">
      <c r="A185" s="166"/>
      <c r="B185" s="182"/>
      <c r="C185" s="205" t="s">
        <v>1442</v>
      </c>
      <c r="D185" s="206">
        <v>2100000</v>
      </c>
      <c r="E185" s="498" t="s">
        <v>1443</v>
      </c>
      <c r="F185" s="166"/>
      <c r="G185" s="230">
        <v>2526039</v>
      </c>
      <c r="H185" s="387" t="s">
        <v>1515</v>
      </c>
      <c r="I185" s="409">
        <f>315000*0.25</f>
        <v>78750</v>
      </c>
      <c r="J185" s="163"/>
      <c r="K185" s="163"/>
      <c r="L185" s="98"/>
      <c r="M185" s="98"/>
      <c r="N185" s="163"/>
      <c r="O185" s="440"/>
      <c r="P185" s="440"/>
      <c r="Q185" s="185" t="s">
        <v>1019</v>
      </c>
      <c r="R185" s="240">
        <f t="shared" si="30"/>
        <v>70875</v>
      </c>
      <c r="S185" s="166"/>
      <c r="T185" s="166"/>
      <c r="U185" s="166" t="s">
        <v>1462</v>
      </c>
      <c r="V185" s="166"/>
      <c r="W185" s="166"/>
      <c r="X185" s="166"/>
    </row>
    <row r="186" spans="1:24" s="38" customFormat="1" ht="56.25" customHeight="1">
      <c r="A186" s="166"/>
      <c r="B186" s="182"/>
      <c r="C186" s="205" t="s">
        <v>1442</v>
      </c>
      <c r="D186" s="168">
        <v>2100000</v>
      </c>
      <c r="E186" s="498" t="s">
        <v>1443</v>
      </c>
      <c r="F186" s="166"/>
      <c r="G186" s="230">
        <v>2526039</v>
      </c>
      <c r="H186" s="454" t="s">
        <v>1516</v>
      </c>
      <c r="I186" s="471">
        <f>210000/4</f>
        <v>52500</v>
      </c>
      <c r="J186" s="163"/>
      <c r="K186" s="163"/>
      <c r="L186" s="98"/>
      <c r="M186" s="98"/>
      <c r="N186" s="163"/>
      <c r="O186" s="440"/>
      <c r="P186" s="440"/>
      <c r="Q186" s="185" t="s">
        <v>1019</v>
      </c>
      <c r="R186" s="240">
        <f t="shared" si="30"/>
        <v>47250</v>
      </c>
      <c r="S186" s="440"/>
      <c r="T186" s="166"/>
      <c r="U186" s="166" t="s">
        <v>1462</v>
      </c>
      <c r="V186" s="166"/>
      <c r="W186" s="166"/>
      <c r="X186" s="166"/>
    </row>
    <row r="187" spans="1:24" s="38" customFormat="1" ht="56.25" customHeight="1">
      <c r="A187" s="166"/>
      <c r="B187" s="182"/>
      <c r="C187" s="205" t="s">
        <v>1442</v>
      </c>
      <c r="D187" s="168">
        <v>2100000</v>
      </c>
      <c r="E187" s="498" t="s">
        <v>1443</v>
      </c>
      <c r="F187" s="166"/>
      <c r="G187" s="230">
        <v>2526039</v>
      </c>
      <c r="H187" s="454" t="s">
        <v>1517</v>
      </c>
      <c r="I187" s="471">
        <f>210000/4</f>
        <v>52500</v>
      </c>
      <c r="J187" s="163"/>
      <c r="K187" s="163"/>
      <c r="L187" s="52"/>
      <c r="M187" s="52"/>
      <c r="N187" s="163"/>
      <c r="O187" s="440"/>
      <c r="P187" s="440"/>
      <c r="Q187" s="185" t="s">
        <v>1019</v>
      </c>
      <c r="R187" s="240">
        <f t="shared" si="30"/>
        <v>47250</v>
      </c>
      <c r="S187" s="166"/>
      <c r="T187" s="166"/>
      <c r="U187" s="166" t="s">
        <v>1462</v>
      </c>
      <c r="V187" s="166"/>
      <c r="W187" s="166"/>
      <c r="X187" s="166"/>
    </row>
    <row r="188" spans="1:24" s="38" customFormat="1" ht="56.25" customHeight="1">
      <c r="A188" s="166"/>
      <c r="B188" s="182"/>
      <c r="C188" s="205" t="s">
        <v>1442</v>
      </c>
      <c r="D188" s="168">
        <v>2100000</v>
      </c>
      <c r="E188" s="499" t="s">
        <v>1443</v>
      </c>
      <c r="F188" s="166">
        <v>2526017</v>
      </c>
      <c r="G188" s="230">
        <v>2526039</v>
      </c>
      <c r="H188" s="461" t="s">
        <v>1473</v>
      </c>
      <c r="I188" s="477">
        <f>420000/2/2</f>
        <v>105000</v>
      </c>
      <c r="J188" s="221">
        <f t="shared" ref="J188:J193" si="33">I188*0.18</f>
        <v>18900</v>
      </c>
      <c r="K188" s="221"/>
      <c r="L188" s="440"/>
      <c r="M188" s="440"/>
      <c r="N188" s="221"/>
      <c r="O188" s="440"/>
      <c r="P188" s="440"/>
      <c r="Q188" s="185" t="s">
        <v>1019</v>
      </c>
      <c r="R188" s="240">
        <f t="shared" si="30"/>
        <v>113400</v>
      </c>
      <c r="S188" s="422"/>
      <c r="T188" s="166"/>
      <c r="U188" s="166" t="s">
        <v>1462</v>
      </c>
      <c r="V188" s="166"/>
      <c r="W188" s="52"/>
      <c r="X188" s="52"/>
    </row>
    <row r="189" spans="1:24" s="38" customFormat="1" ht="14.65" customHeight="1">
      <c r="A189" s="166"/>
      <c r="B189" s="182"/>
      <c r="C189" s="205" t="s">
        <v>1343</v>
      </c>
      <c r="D189" s="206">
        <v>2300000</v>
      </c>
      <c r="E189" s="497" t="s">
        <v>1344</v>
      </c>
      <c r="F189" s="166">
        <v>2526018</v>
      </c>
      <c r="G189" s="186">
        <v>2526041</v>
      </c>
      <c r="H189" s="175" t="s">
        <v>551</v>
      </c>
      <c r="I189" s="206">
        <v>400000</v>
      </c>
      <c r="J189" s="221">
        <f t="shared" si="33"/>
        <v>72000</v>
      </c>
      <c r="K189" s="163"/>
      <c r="L189" s="98"/>
      <c r="M189" s="98"/>
      <c r="N189" s="163"/>
      <c r="O189" s="440" t="s">
        <v>1518</v>
      </c>
      <c r="P189" s="440"/>
      <c r="Q189" s="185" t="s">
        <v>1019</v>
      </c>
      <c r="R189" s="240">
        <f t="shared" si="30"/>
        <v>432000</v>
      </c>
      <c r="S189" s="241">
        <f t="shared" ref="S189:S196" si="34">R189</f>
        <v>432000</v>
      </c>
      <c r="T189" s="166" t="s">
        <v>1519</v>
      </c>
      <c r="U189" s="166" t="str">
        <f t="shared" ref="U189:U194" si="35">IF(S189=R189, "clear", "not clear")</f>
        <v>clear</v>
      </c>
      <c r="V189" s="166"/>
      <c r="W189" s="52"/>
      <c r="X189" s="52"/>
    </row>
    <row r="190" spans="1:24" s="38" customFormat="1" ht="14.65" customHeight="1">
      <c r="A190" s="166"/>
      <c r="B190" s="182"/>
      <c r="C190" s="205" t="s">
        <v>1520</v>
      </c>
      <c r="D190" s="206">
        <v>800000</v>
      </c>
      <c r="E190" s="497"/>
      <c r="F190" s="166"/>
      <c r="G190" s="440">
        <v>2526042</v>
      </c>
      <c r="H190" s="398" t="s">
        <v>1521</v>
      </c>
      <c r="I190" s="206">
        <v>160000</v>
      </c>
      <c r="J190" s="221">
        <f t="shared" si="33"/>
        <v>28800</v>
      </c>
      <c r="K190" s="163"/>
      <c r="L190" s="98"/>
      <c r="M190" s="98"/>
      <c r="N190" s="163"/>
      <c r="O190" s="440"/>
      <c r="P190" s="440"/>
      <c r="Q190" s="185" t="s">
        <v>1019</v>
      </c>
      <c r="R190" s="240">
        <f t="shared" si="30"/>
        <v>172800</v>
      </c>
      <c r="S190" s="241">
        <f t="shared" si="34"/>
        <v>172800</v>
      </c>
      <c r="T190" s="166" t="s">
        <v>1522</v>
      </c>
      <c r="U190" s="166" t="str">
        <f t="shared" si="35"/>
        <v>clear</v>
      </c>
      <c r="V190" s="166"/>
      <c r="W190" s="166"/>
      <c r="X190" s="166"/>
    </row>
    <row r="191" spans="1:24" s="38" customFormat="1" ht="14.65" customHeight="1">
      <c r="A191" s="166"/>
      <c r="B191" s="182"/>
      <c r="C191" s="205" t="s">
        <v>1388</v>
      </c>
      <c r="D191" s="206">
        <v>1000000</v>
      </c>
      <c r="E191" s="497"/>
      <c r="F191" s="52"/>
      <c r="G191" s="440">
        <v>2526043</v>
      </c>
      <c r="H191" s="132" t="s">
        <v>767</v>
      </c>
      <c r="I191" s="237">
        <v>73840</v>
      </c>
      <c r="J191" s="221">
        <f t="shared" si="33"/>
        <v>13291.199999999999</v>
      </c>
      <c r="K191" s="163"/>
      <c r="L191" s="98"/>
      <c r="M191" s="98"/>
      <c r="N191" s="163"/>
      <c r="O191" s="440" t="s">
        <v>1523</v>
      </c>
      <c r="P191" s="440"/>
      <c r="Q191" s="185" t="s">
        <v>1019</v>
      </c>
      <c r="R191" s="240">
        <f t="shared" si="30"/>
        <v>79747.199999999997</v>
      </c>
      <c r="S191" s="241">
        <f t="shared" si="34"/>
        <v>79747.199999999997</v>
      </c>
      <c r="T191" s="166" t="s">
        <v>1524</v>
      </c>
      <c r="U191" s="166" t="str">
        <f t="shared" si="35"/>
        <v>clear</v>
      </c>
      <c r="V191" s="166"/>
      <c r="W191" s="166"/>
      <c r="X191" s="166"/>
    </row>
    <row r="192" spans="1:24" ht="14.65" customHeight="1">
      <c r="B192" s="182"/>
      <c r="C192" s="175" t="s">
        <v>1388</v>
      </c>
      <c r="D192" s="184">
        <v>1000000</v>
      </c>
      <c r="F192" s="52"/>
      <c r="G192" s="185">
        <v>2526044</v>
      </c>
      <c r="H192" s="132" t="s">
        <v>767</v>
      </c>
      <c r="I192" s="237">
        <v>26160</v>
      </c>
      <c r="J192" s="221">
        <f t="shared" si="33"/>
        <v>4708.8</v>
      </c>
      <c r="K192" s="56"/>
      <c r="L192" s="98"/>
      <c r="M192" s="98"/>
      <c r="N192" s="56"/>
      <c r="O192" s="221" t="s">
        <v>1523</v>
      </c>
      <c r="P192" s="221"/>
      <c r="Q192" s="185" t="s">
        <v>1019</v>
      </c>
      <c r="R192" s="240">
        <f t="shared" si="30"/>
        <v>28252.799999999999</v>
      </c>
      <c r="S192" s="420">
        <f t="shared" si="34"/>
        <v>28252.799999999999</v>
      </c>
      <c r="T192" s="166" t="s">
        <v>1524</v>
      </c>
      <c r="U192" s="166" t="str">
        <f t="shared" si="35"/>
        <v>clear</v>
      </c>
    </row>
    <row r="193" spans="1:24" ht="14.65" customHeight="1">
      <c r="B193" s="182"/>
      <c r="C193" s="172" t="s">
        <v>1520</v>
      </c>
      <c r="D193" s="184">
        <v>800000</v>
      </c>
      <c r="G193" s="186">
        <v>2526045</v>
      </c>
      <c r="H193" s="132" t="s">
        <v>653</v>
      </c>
      <c r="I193" s="206">
        <v>120000</v>
      </c>
      <c r="J193" s="221">
        <f t="shared" si="33"/>
        <v>21600</v>
      </c>
      <c r="K193" s="163"/>
      <c r="N193" s="163"/>
      <c r="O193" s="221" t="s">
        <v>1525</v>
      </c>
      <c r="P193" s="221"/>
      <c r="Q193" s="185" t="s">
        <v>1019</v>
      </c>
      <c r="R193" s="240">
        <f t="shared" si="30"/>
        <v>129600</v>
      </c>
      <c r="S193" s="420">
        <f t="shared" si="34"/>
        <v>129600</v>
      </c>
      <c r="T193" s="166" t="s">
        <v>1526</v>
      </c>
      <c r="U193" s="166" t="str">
        <f t="shared" si="35"/>
        <v>clear</v>
      </c>
    </row>
    <row r="194" spans="1:24" s="38" customFormat="1" ht="14.65" customHeight="1">
      <c r="A194" s="166"/>
      <c r="B194" s="182"/>
      <c r="C194" s="172" t="s">
        <v>1520</v>
      </c>
      <c r="D194" s="168">
        <v>800000</v>
      </c>
      <c r="E194" s="497"/>
      <c r="F194" s="166"/>
      <c r="G194" s="186">
        <v>2526045</v>
      </c>
      <c r="H194" s="465" t="s">
        <v>551</v>
      </c>
      <c r="I194" s="443">
        <v>120000</v>
      </c>
      <c r="J194" s="221"/>
      <c r="K194" s="163"/>
      <c r="L194" s="52"/>
      <c r="M194" s="52"/>
      <c r="N194" s="163"/>
      <c r="O194" s="166" t="s">
        <v>1525</v>
      </c>
      <c r="P194" s="166"/>
      <c r="Q194" s="166" t="s">
        <v>1019</v>
      </c>
      <c r="R194" s="240">
        <f t="shared" si="30"/>
        <v>108000</v>
      </c>
      <c r="S194" s="420">
        <f t="shared" si="34"/>
        <v>108000</v>
      </c>
      <c r="T194" s="166" t="s">
        <v>1526</v>
      </c>
      <c r="U194" s="166" t="str">
        <f t="shared" si="35"/>
        <v>clear</v>
      </c>
      <c r="V194" s="166"/>
      <c r="W194" s="166"/>
      <c r="X194" s="166"/>
    </row>
    <row r="195" spans="1:24" s="38" customFormat="1" ht="90" customHeight="1">
      <c r="B195" s="4">
        <v>83</v>
      </c>
      <c r="C195" s="3" t="s">
        <v>1527</v>
      </c>
      <c r="D195" s="31">
        <v>1600000</v>
      </c>
      <c r="E195" s="31" t="s">
        <v>1528</v>
      </c>
      <c r="F195" s="3"/>
      <c r="G195" s="136">
        <v>20210403</v>
      </c>
      <c r="H195" s="395" t="s">
        <v>618</v>
      </c>
      <c r="I195" s="403">
        <v>320000</v>
      </c>
      <c r="J195" s="106">
        <f t="shared" ref="J195:J215" si="36">I195*18%</f>
        <v>57600</v>
      </c>
      <c r="K195" s="106">
        <f>I195*10%</f>
        <v>32000</v>
      </c>
      <c r="L195" s="19"/>
      <c r="M195" s="19"/>
      <c r="N195" s="106">
        <f t="shared" ref="N195:N215" si="37">I195+J195</f>
        <v>377600</v>
      </c>
      <c r="O195" s="19" t="s">
        <v>757</v>
      </c>
      <c r="P195" s="19"/>
      <c r="Q195" s="19" t="s">
        <v>709</v>
      </c>
      <c r="R195" s="106">
        <f t="shared" ref="R195:R215" si="38">N195-K195</f>
        <v>345600</v>
      </c>
      <c r="S195" s="31">
        <f t="shared" si="34"/>
        <v>345600</v>
      </c>
      <c r="T195" s="19" t="s">
        <v>757</v>
      </c>
      <c r="U195" s="19"/>
      <c r="V195" s="19"/>
      <c r="W195" s="166"/>
      <c r="X195" s="166"/>
    </row>
    <row r="196" spans="1:24" s="38" customFormat="1" ht="90" customHeight="1">
      <c r="B196" s="8">
        <v>91</v>
      </c>
      <c r="C196" s="16" t="s">
        <v>1529</v>
      </c>
      <c r="D196" s="106">
        <v>1400000</v>
      </c>
      <c r="E196" s="31" t="s">
        <v>1528</v>
      </c>
      <c r="F196" s="3"/>
      <c r="G196" s="135">
        <v>20210404</v>
      </c>
      <c r="H196" s="89" t="s">
        <v>618</v>
      </c>
      <c r="I196" s="18">
        <v>280000</v>
      </c>
      <c r="J196" s="9">
        <f t="shared" si="36"/>
        <v>50400</v>
      </c>
      <c r="K196" s="9">
        <f>I196*10%</f>
        <v>28000</v>
      </c>
      <c r="L196" s="7"/>
      <c r="M196" s="7"/>
      <c r="N196" s="9">
        <f t="shared" si="37"/>
        <v>330400</v>
      </c>
      <c r="O196" s="7" t="s">
        <v>757</v>
      </c>
      <c r="P196" s="7"/>
      <c r="Q196" s="7" t="s">
        <v>709</v>
      </c>
      <c r="R196" s="9">
        <f t="shared" si="38"/>
        <v>302400</v>
      </c>
      <c r="S196" s="31">
        <f t="shared" si="34"/>
        <v>302400</v>
      </c>
      <c r="T196" s="19" t="s">
        <v>757</v>
      </c>
      <c r="U196" s="19"/>
      <c r="V196" s="19"/>
      <c r="W196" s="52"/>
      <c r="X196" s="52"/>
    </row>
    <row r="197" spans="1:24" s="38" customFormat="1" ht="90" customHeight="1">
      <c r="B197" s="8">
        <v>92</v>
      </c>
      <c r="C197" s="16" t="s">
        <v>1529</v>
      </c>
      <c r="D197" s="106">
        <v>1400000</v>
      </c>
      <c r="E197" s="31" t="s">
        <v>1528</v>
      </c>
      <c r="F197" s="3"/>
      <c r="G197" s="136">
        <v>20210405</v>
      </c>
      <c r="H197" s="89" t="s">
        <v>751</v>
      </c>
      <c r="I197" s="18">
        <v>280000</v>
      </c>
      <c r="J197" s="9">
        <f t="shared" si="36"/>
        <v>50400</v>
      </c>
      <c r="K197" s="9">
        <f>I197*10%</f>
        <v>28000</v>
      </c>
      <c r="L197" s="7"/>
      <c r="M197" s="7"/>
      <c r="N197" s="9">
        <f t="shared" si="37"/>
        <v>330400</v>
      </c>
      <c r="O197" s="7" t="s">
        <v>1530</v>
      </c>
      <c r="P197" s="7"/>
      <c r="Q197" s="7" t="s">
        <v>709</v>
      </c>
      <c r="R197" s="9">
        <f t="shared" si="38"/>
        <v>302400</v>
      </c>
      <c r="S197" s="31">
        <f>I197+J197</f>
        <v>330400</v>
      </c>
      <c r="T197" s="19" t="s">
        <v>713</v>
      </c>
      <c r="U197" s="19"/>
      <c r="V197" s="19"/>
      <c r="W197" s="166"/>
      <c r="X197" s="166"/>
    </row>
    <row r="198" spans="1:24" s="38" customFormat="1" ht="90" customHeight="1">
      <c r="B198" s="8">
        <v>93</v>
      </c>
      <c r="C198" s="16" t="s">
        <v>1529</v>
      </c>
      <c r="D198" s="106">
        <v>1400000</v>
      </c>
      <c r="E198" s="31" t="s">
        <v>1528</v>
      </c>
      <c r="F198" s="3"/>
      <c r="G198" s="136">
        <v>20210405</v>
      </c>
      <c r="H198" s="89" t="s">
        <v>760</v>
      </c>
      <c r="I198" s="18">
        <v>210000</v>
      </c>
      <c r="J198" s="9">
        <f t="shared" si="36"/>
        <v>37800</v>
      </c>
      <c r="K198" s="9">
        <f>I198*10%</f>
        <v>21000</v>
      </c>
      <c r="L198" s="7"/>
      <c r="M198" s="7"/>
      <c r="N198" s="9">
        <f t="shared" si="37"/>
        <v>247800</v>
      </c>
      <c r="O198" s="7" t="s">
        <v>1530</v>
      </c>
      <c r="P198" s="7"/>
      <c r="Q198" s="7" t="s">
        <v>709</v>
      </c>
      <c r="R198" s="9">
        <f t="shared" si="38"/>
        <v>226800</v>
      </c>
      <c r="S198" s="31">
        <f>I198+J198</f>
        <v>247800</v>
      </c>
      <c r="T198" s="19" t="s">
        <v>713</v>
      </c>
      <c r="U198" s="19"/>
      <c r="V198" s="19"/>
      <c r="W198" s="52"/>
      <c r="X198" s="52"/>
    </row>
    <row r="199" spans="1:24" ht="90" customHeight="1">
      <c r="B199" s="8">
        <v>94</v>
      </c>
      <c r="C199" s="131" t="s">
        <v>1529</v>
      </c>
      <c r="D199" s="105">
        <v>1400000</v>
      </c>
      <c r="E199" s="31" t="s">
        <v>1528</v>
      </c>
      <c r="F199" s="3"/>
      <c r="G199" s="142">
        <v>20210406</v>
      </c>
      <c r="H199" s="199" t="s">
        <v>761</v>
      </c>
      <c r="I199" s="403">
        <v>210000</v>
      </c>
      <c r="J199" s="106">
        <f t="shared" si="36"/>
        <v>37800</v>
      </c>
      <c r="K199" s="106">
        <f>I199*7.5%</f>
        <v>15750</v>
      </c>
      <c r="L199" s="35"/>
      <c r="M199" s="35"/>
      <c r="N199" s="106">
        <f t="shared" si="37"/>
        <v>247800</v>
      </c>
      <c r="O199" s="35" t="s">
        <v>1531</v>
      </c>
      <c r="P199" s="35"/>
      <c r="Q199" s="35" t="s">
        <v>709</v>
      </c>
      <c r="R199" s="105">
        <f t="shared" si="38"/>
        <v>232050</v>
      </c>
      <c r="S199" s="31">
        <f>N199</f>
        <v>247800</v>
      </c>
      <c r="T199" s="19" t="s">
        <v>1532</v>
      </c>
      <c r="U199" s="19"/>
      <c r="V199" s="19"/>
      <c r="W199" s="52"/>
      <c r="X199" s="52"/>
    </row>
    <row r="200" spans="1:24" s="38" customFormat="1" ht="75" customHeight="1">
      <c r="A200" s="36" t="s">
        <v>1221</v>
      </c>
      <c r="B200" s="8">
        <v>69</v>
      </c>
      <c r="C200" s="1" t="s">
        <v>1250</v>
      </c>
      <c r="D200" s="123">
        <v>600000</v>
      </c>
      <c r="E200" s="3" t="s">
        <v>1251</v>
      </c>
      <c r="F200" s="3"/>
      <c r="G200" s="138">
        <v>20210407</v>
      </c>
      <c r="H200" s="1" t="s">
        <v>1533</v>
      </c>
      <c r="I200" s="9">
        <v>90000</v>
      </c>
      <c r="J200" s="9">
        <f t="shared" si="36"/>
        <v>16200</v>
      </c>
      <c r="K200" s="9">
        <f t="shared" ref="K200:K220" si="39">I200*10%</f>
        <v>9000</v>
      </c>
      <c r="L200" s="9"/>
      <c r="M200" s="9"/>
      <c r="N200" s="9">
        <f t="shared" si="37"/>
        <v>106200</v>
      </c>
      <c r="O200" s="17" t="s">
        <v>1534</v>
      </c>
      <c r="P200" s="17"/>
      <c r="Q200" s="7" t="s">
        <v>709</v>
      </c>
      <c r="R200" s="9">
        <f t="shared" si="38"/>
        <v>97200</v>
      </c>
      <c r="S200" s="31">
        <f>R200</f>
        <v>97200</v>
      </c>
      <c r="T200" s="19" t="s">
        <v>1535</v>
      </c>
      <c r="U200" s="19"/>
      <c r="V200" s="19"/>
      <c r="W200" s="52"/>
      <c r="X200" s="52"/>
    </row>
    <row r="201" spans="1:24" s="38" customFormat="1" ht="75" customHeight="1">
      <c r="A201" s="36" t="s">
        <v>1221</v>
      </c>
      <c r="B201" s="8">
        <v>70</v>
      </c>
      <c r="C201" s="1" t="s">
        <v>1250</v>
      </c>
      <c r="D201" s="123">
        <v>600000</v>
      </c>
      <c r="E201" s="3" t="s">
        <v>1251</v>
      </c>
      <c r="F201" s="3"/>
      <c r="G201" s="138">
        <v>20210407</v>
      </c>
      <c r="H201" s="1" t="s">
        <v>1536</v>
      </c>
      <c r="I201" s="9">
        <v>90000</v>
      </c>
      <c r="J201" s="9">
        <f t="shared" si="36"/>
        <v>16200</v>
      </c>
      <c r="K201" s="9">
        <f t="shared" si="39"/>
        <v>9000</v>
      </c>
      <c r="L201" s="9"/>
      <c r="M201" s="9"/>
      <c r="N201" s="9">
        <f t="shared" si="37"/>
        <v>106200</v>
      </c>
      <c r="O201" s="17" t="s">
        <v>1534</v>
      </c>
      <c r="P201" s="17"/>
      <c r="Q201" s="7" t="s">
        <v>709</v>
      </c>
      <c r="R201" s="9">
        <f t="shared" si="38"/>
        <v>97200</v>
      </c>
      <c r="S201" s="31">
        <f>R201</f>
        <v>97200</v>
      </c>
      <c r="T201" s="19" t="s">
        <v>1535</v>
      </c>
      <c r="U201" s="19"/>
      <c r="V201" s="19"/>
    </row>
    <row r="202" spans="1:24" s="38" customFormat="1" ht="75" customHeight="1">
      <c r="A202" s="36" t="s">
        <v>1221</v>
      </c>
      <c r="B202" s="8">
        <v>71</v>
      </c>
      <c r="C202" s="1" t="s">
        <v>1250</v>
      </c>
      <c r="D202" s="123">
        <v>600000</v>
      </c>
      <c r="E202" s="3" t="s">
        <v>1251</v>
      </c>
      <c r="F202" s="3"/>
      <c r="G202" s="138">
        <v>20210407</v>
      </c>
      <c r="H202" s="1" t="s">
        <v>1537</v>
      </c>
      <c r="I202" s="9">
        <v>60000</v>
      </c>
      <c r="J202" s="9">
        <f t="shared" si="36"/>
        <v>10800</v>
      </c>
      <c r="K202" s="9">
        <f t="shared" si="39"/>
        <v>6000</v>
      </c>
      <c r="L202" s="9"/>
      <c r="M202" s="9"/>
      <c r="N202" s="9">
        <f t="shared" si="37"/>
        <v>70800</v>
      </c>
      <c r="O202" s="17" t="s">
        <v>1534</v>
      </c>
      <c r="P202" s="17"/>
      <c r="Q202" s="7" t="s">
        <v>709</v>
      </c>
      <c r="R202" s="9">
        <f t="shared" si="38"/>
        <v>64800</v>
      </c>
      <c r="S202" s="31">
        <f>R202</f>
        <v>64800</v>
      </c>
      <c r="T202" s="19" t="s">
        <v>1535</v>
      </c>
      <c r="U202" s="19"/>
      <c r="V202" s="19"/>
    </row>
    <row r="203" spans="1:24" s="38" customFormat="1" ht="75" customHeight="1">
      <c r="A203" s="36" t="s">
        <v>1221</v>
      </c>
      <c r="B203" s="8">
        <v>72</v>
      </c>
      <c r="C203" s="1" t="s">
        <v>1250</v>
      </c>
      <c r="D203" s="123">
        <v>600000</v>
      </c>
      <c r="E203" s="3" t="s">
        <v>1251</v>
      </c>
      <c r="F203" s="3"/>
      <c r="G203" s="138">
        <v>20210407</v>
      </c>
      <c r="H203" s="1" t="s">
        <v>1538</v>
      </c>
      <c r="I203" s="9">
        <v>60000</v>
      </c>
      <c r="J203" s="9">
        <f t="shared" si="36"/>
        <v>10800</v>
      </c>
      <c r="K203" s="9">
        <f t="shared" si="39"/>
        <v>6000</v>
      </c>
      <c r="L203" s="9"/>
      <c r="M203" s="9"/>
      <c r="N203" s="9">
        <f t="shared" si="37"/>
        <v>70800</v>
      </c>
      <c r="O203" s="17" t="s">
        <v>1534</v>
      </c>
      <c r="P203" s="17"/>
      <c r="Q203" s="7" t="s">
        <v>709</v>
      </c>
      <c r="R203" s="9">
        <f t="shared" si="38"/>
        <v>64800</v>
      </c>
      <c r="S203" s="31">
        <f>R203</f>
        <v>64800</v>
      </c>
      <c r="T203" s="19" t="s">
        <v>1535</v>
      </c>
      <c r="U203" s="19"/>
      <c r="V203" s="19"/>
    </row>
    <row r="204" spans="1:24" s="38" customFormat="1" ht="75" customHeight="1">
      <c r="A204" s="36" t="s">
        <v>1221</v>
      </c>
      <c r="B204" s="8">
        <v>73</v>
      </c>
      <c r="C204" s="1" t="s">
        <v>1250</v>
      </c>
      <c r="D204" s="123">
        <v>600000</v>
      </c>
      <c r="E204" s="3" t="s">
        <v>1251</v>
      </c>
      <c r="F204" s="3"/>
      <c r="G204" s="138">
        <v>20210407</v>
      </c>
      <c r="H204" s="1" t="s">
        <v>1539</v>
      </c>
      <c r="I204" s="9">
        <v>90000</v>
      </c>
      <c r="J204" s="9">
        <f t="shared" si="36"/>
        <v>16200</v>
      </c>
      <c r="K204" s="9">
        <f t="shared" si="39"/>
        <v>9000</v>
      </c>
      <c r="L204" s="9"/>
      <c r="M204" s="9"/>
      <c r="N204" s="9">
        <f t="shared" si="37"/>
        <v>106200</v>
      </c>
      <c r="O204" s="17" t="s">
        <v>1534</v>
      </c>
      <c r="P204" s="17"/>
      <c r="Q204" s="7" t="s">
        <v>709</v>
      </c>
      <c r="R204" s="9">
        <f t="shared" si="38"/>
        <v>97200</v>
      </c>
      <c r="S204" s="31">
        <f>430950-S203-S202-S201-S200</f>
        <v>106950</v>
      </c>
      <c r="T204" s="19" t="s">
        <v>1535</v>
      </c>
      <c r="U204" s="19"/>
      <c r="V204" s="19"/>
    </row>
    <row r="205" spans="1:24" s="38" customFormat="1" ht="90" customHeight="1">
      <c r="A205" s="36" t="s">
        <v>1221</v>
      </c>
      <c r="B205" s="8">
        <v>99</v>
      </c>
      <c r="C205" s="16" t="s">
        <v>1540</v>
      </c>
      <c r="D205" s="106">
        <v>395000</v>
      </c>
      <c r="E205" s="102" t="s">
        <v>1541</v>
      </c>
      <c r="F205" s="3"/>
      <c r="G205" s="138">
        <v>20210408</v>
      </c>
      <c r="H205" s="16" t="s">
        <v>1542</v>
      </c>
      <c r="I205" s="29">
        <v>102700</v>
      </c>
      <c r="J205" s="9">
        <f t="shared" si="36"/>
        <v>18486</v>
      </c>
      <c r="K205" s="9">
        <f t="shared" si="39"/>
        <v>10270</v>
      </c>
      <c r="L205" s="7"/>
      <c r="M205" s="7"/>
      <c r="N205" s="9">
        <f t="shared" si="37"/>
        <v>121186</v>
      </c>
      <c r="O205" s="17" t="s">
        <v>1543</v>
      </c>
      <c r="P205" s="17"/>
      <c r="Q205" s="7" t="s">
        <v>709</v>
      </c>
      <c r="R205" s="9">
        <f t="shared" si="38"/>
        <v>110916</v>
      </c>
      <c r="S205" s="19">
        <v>113483</v>
      </c>
      <c r="T205" s="408" t="s">
        <v>1544</v>
      </c>
      <c r="U205" s="19"/>
      <c r="V205" s="19"/>
    </row>
    <row r="206" spans="1:24" s="38" customFormat="1" ht="90" customHeight="1">
      <c r="A206" s="36" t="s">
        <v>1221</v>
      </c>
      <c r="B206" s="8">
        <v>100</v>
      </c>
      <c r="C206" s="16" t="s">
        <v>1540</v>
      </c>
      <c r="D206" s="106">
        <v>395001</v>
      </c>
      <c r="E206" s="102" t="s">
        <v>1541</v>
      </c>
      <c r="F206" s="3"/>
      <c r="G206" s="138">
        <v>20210409</v>
      </c>
      <c r="H206" s="27" t="s">
        <v>627</v>
      </c>
      <c r="I206" s="29">
        <v>102700</v>
      </c>
      <c r="J206" s="9">
        <f t="shared" si="36"/>
        <v>18486</v>
      </c>
      <c r="K206" s="9">
        <f t="shared" si="39"/>
        <v>10270</v>
      </c>
      <c r="L206" s="7"/>
      <c r="M206" s="7"/>
      <c r="N206" s="9">
        <f t="shared" si="37"/>
        <v>121186</v>
      </c>
      <c r="O206" s="17" t="s">
        <v>1545</v>
      </c>
      <c r="P206" s="17"/>
      <c r="Q206" s="7" t="s">
        <v>709</v>
      </c>
      <c r="R206" s="9">
        <f t="shared" si="38"/>
        <v>110916</v>
      </c>
      <c r="S206" s="31">
        <f>R206</f>
        <v>110916</v>
      </c>
      <c r="T206" s="19" t="s">
        <v>1546</v>
      </c>
      <c r="U206" s="19"/>
      <c r="V206" s="19"/>
    </row>
    <row r="207" spans="1:24" s="38" customFormat="1" ht="90" customHeight="1">
      <c r="A207" s="36" t="s">
        <v>1221</v>
      </c>
      <c r="B207" s="122">
        <v>101</v>
      </c>
      <c r="C207" s="16" t="s">
        <v>1540</v>
      </c>
      <c r="D207" s="106">
        <v>395002</v>
      </c>
      <c r="E207" s="128" t="s">
        <v>1541</v>
      </c>
      <c r="F207" s="88"/>
      <c r="G207" s="138">
        <v>20210409</v>
      </c>
      <c r="H207" s="27" t="s">
        <v>1547</v>
      </c>
      <c r="I207" s="29">
        <v>47400</v>
      </c>
      <c r="J207" s="9">
        <f t="shared" si="36"/>
        <v>8532</v>
      </c>
      <c r="K207" s="9">
        <f t="shared" si="39"/>
        <v>4740</v>
      </c>
      <c r="L207" s="7"/>
      <c r="M207" s="7"/>
      <c r="N207" s="9">
        <f t="shared" si="37"/>
        <v>55932</v>
      </c>
      <c r="O207" s="17" t="s">
        <v>1545</v>
      </c>
      <c r="P207" s="17"/>
      <c r="Q207" s="7" t="s">
        <v>709</v>
      </c>
      <c r="R207" s="9">
        <f t="shared" si="38"/>
        <v>51192</v>
      </c>
      <c r="S207" s="105">
        <f>R207</f>
        <v>51192</v>
      </c>
      <c r="T207" s="35" t="s">
        <v>1546</v>
      </c>
      <c r="U207" s="35"/>
      <c r="V207" s="35"/>
    </row>
    <row r="208" spans="1:24" s="38" customFormat="1" ht="90" customHeight="1">
      <c r="A208" s="36" t="s">
        <v>1221</v>
      </c>
      <c r="B208" s="8">
        <v>102</v>
      </c>
      <c r="C208" s="16" t="s">
        <v>1540</v>
      </c>
      <c r="D208" s="106">
        <v>395003</v>
      </c>
      <c r="E208" s="102" t="s">
        <v>1541</v>
      </c>
      <c r="F208" s="3"/>
      <c r="G208" s="138">
        <v>20210409</v>
      </c>
      <c r="H208" s="27" t="s">
        <v>1548</v>
      </c>
      <c r="I208" s="29">
        <v>47400</v>
      </c>
      <c r="J208" s="9">
        <f t="shared" si="36"/>
        <v>8532</v>
      </c>
      <c r="K208" s="9">
        <f t="shared" si="39"/>
        <v>4740</v>
      </c>
      <c r="L208" s="7"/>
      <c r="M208" s="7"/>
      <c r="N208" s="9">
        <f t="shared" si="37"/>
        <v>55932</v>
      </c>
      <c r="O208" s="17" t="s">
        <v>1545</v>
      </c>
      <c r="P208" s="17"/>
      <c r="Q208" s="7" t="s">
        <v>709</v>
      </c>
      <c r="R208" s="9">
        <f t="shared" si="38"/>
        <v>51192</v>
      </c>
      <c r="S208" s="31">
        <f>R208</f>
        <v>51192</v>
      </c>
      <c r="T208" s="19" t="s">
        <v>1546</v>
      </c>
      <c r="U208" s="19"/>
      <c r="V208" s="19"/>
    </row>
    <row r="209" spans="1:24" s="38" customFormat="1" ht="90" customHeight="1">
      <c r="A209" s="36" t="s">
        <v>1221</v>
      </c>
      <c r="B209" s="8">
        <v>103</v>
      </c>
      <c r="C209" s="16" t="s">
        <v>1540</v>
      </c>
      <c r="D209" s="106">
        <v>395004</v>
      </c>
      <c r="E209" s="102" t="s">
        <v>1541</v>
      </c>
      <c r="F209" s="3"/>
      <c r="G209" s="138">
        <v>20210409</v>
      </c>
      <c r="H209" s="27" t="s">
        <v>1549</v>
      </c>
      <c r="I209" s="29">
        <v>47400</v>
      </c>
      <c r="J209" s="9">
        <f t="shared" si="36"/>
        <v>8532</v>
      </c>
      <c r="K209" s="9">
        <f t="shared" si="39"/>
        <v>4740</v>
      </c>
      <c r="L209" s="7"/>
      <c r="M209" s="7"/>
      <c r="N209" s="9">
        <f t="shared" si="37"/>
        <v>55932</v>
      </c>
      <c r="O209" s="17" t="s">
        <v>1545</v>
      </c>
      <c r="P209" s="17"/>
      <c r="Q209" s="7" t="s">
        <v>709</v>
      </c>
      <c r="R209" s="9">
        <f t="shared" si="38"/>
        <v>51192</v>
      </c>
      <c r="S209" s="31">
        <f>R209</f>
        <v>51192</v>
      </c>
      <c r="T209" s="19" t="s">
        <v>1546</v>
      </c>
      <c r="U209" s="19"/>
      <c r="V209" s="19"/>
    </row>
    <row r="210" spans="1:24" s="38" customFormat="1" ht="90" customHeight="1">
      <c r="A210" s="36" t="s">
        <v>1221</v>
      </c>
      <c r="B210" s="8">
        <v>104</v>
      </c>
      <c r="C210" s="16" t="s">
        <v>1540</v>
      </c>
      <c r="D210" s="106">
        <v>395005</v>
      </c>
      <c r="E210" s="102" t="s">
        <v>1541</v>
      </c>
      <c r="F210" s="3"/>
      <c r="G210" s="138">
        <v>20210410</v>
      </c>
      <c r="H210" s="27" t="s">
        <v>1550</v>
      </c>
      <c r="I210" s="29">
        <v>31600</v>
      </c>
      <c r="J210" s="9">
        <f t="shared" si="36"/>
        <v>5688</v>
      </c>
      <c r="K210" s="9">
        <f t="shared" si="39"/>
        <v>3160</v>
      </c>
      <c r="L210" s="7"/>
      <c r="M210" s="7"/>
      <c r="N210" s="9">
        <f t="shared" si="37"/>
        <v>37288</v>
      </c>
      <c r="O210" s="17" t="s">
        <v>1551</v>
      </c>
      <c r="P210" s="17"/>
      <c r="Q210" s="7" t="s">
        <v>709</v>
      </c>
      <c r="R210" s="9">
        <f t="shared" si="38"/>
        <v>34128</v>
      </c>
      <c r="S210" s="31">
        <f>R210</f>
        <v>34128</v>
      </c>
      <c r="T210" s="408" t="s">
        <v>1552</v>
      </c>
      <c r="U210" s="19"/>
      <c r="V210" s="19"/>
    </row>
    <row r="211" spans="1:24" s="38" customFormat="1" ht="90" customHeight="1">
      <c r="A211" s="36" t="s">
        <v>1221</v>
      </c>
      <c r="B211" s="8">
        <v>122</v>
      </c>
      <c r="C211" s="1" t="s">
        <v>1553</v>
      </c>
      <c r="D211" s="106">
        <v>250000</v>
      </c>
      <c r="E211" s="31" t="s">
        <v>1554</v>
      </c>
      <c r="F211" s="3"/>
      <c r="G211" s="136">
        <v>21220003</v>
      </c>
      <c r="H211" s="1" t="s">
        <v>1555</v>
      </c>
      <c r="I211" s="9">
        <v>50000</v>
      </c>
      <c r="J211" s="9">
        <f t="shared" si="36"/>
        <v>9000</v>
      </c>
      <c r="K211" s="9">
        <f t="shared" si="39"/>
        <v>5000</v>
      </c>
      <c r="L211" s="7"/>
      <c r="M211" s="7"/>
      <c r="N211" s="9">
        <f t="shared" si="37"/>
        <v>59000</v>
      </c>
      <c r="O211" s="7" t="s">
        <v>1556</v>
      </c>
      <c r="P211" s="7"/>
      <c r="Q211" s="17" t="s">
        <v>731</v>
      </c>
      <c r="R211" s="9">
        <f t="shared" si="38"/>
        <v>54000</v>
      </c>
      <c r="S211" s="31">
        <f>R211</f>
        <v>54000</v>
      </c>
      <c r="T211" s="19" t="s">
        <v>1557</v>
      </c>
      <c r="U211" s="19"/>
      <c r="V211" s="19"/>
    </row>
    <row r="212" spans="1:24" s="38" customFormat="1" ht="90" customHeight="1">
      <c r="A212" s="36" t="s">
        <v>1221</v>
      </c>
      <c r="B212" s="122">
        <v>123</v>
      </c>
      <c r="C212" s="1" t="s">
        <v>1553</v>
      </c>
      <c r="D212" s="106">
        <v>250000</v>
      </c>
      <c r="E212" s="31" t="s">
        <v>1554</v>
      </c>
      <c r="F212" s="3"/>
      <c r="G212" s="136">
        <v>21220003</v>
      </c>
      <c r="H212" s="1" t="s">
        <v>1558</v>
      </c>
      <c r="I212" s="9">
        <v>125000</v>
      </c>
      <c r="J212" s="9">
        <f t="shared" si="36"/>
        <v>22500</v>
      </c>
      <c r="K212" s="9">
        <f t="shared" si="39"/>
        <v>12500</v>
      </c>
      <c r="L212" s="7"/>
      <c r="M212" s="7"/>
      <c r="N212" s="9">
        <f t="shared" si="37"/>
        <v>147500</v>
      </c>
      <c r="O212" s="7" t="s">
        <v>1556</v>
      </c>
      <c r="P212" s="7"/>
      <c r="Q212" s="17" t="s">
        <v>731</v>
      </c>
      <c r="R212" s="9">
        <f t="shared" si="38"/>
        <v>135000</v>
      </c>
      <c r="S212" s="31">
        <f>R212</f>
        <v>135000</v>
      </c>
      <c r="T212" s="19" t="s">
        <v>1557</v>
      </c>
      <c r="U212" s="19"/>
      <c r="V212" s="19"/>
    </row>
    <row r="213" spans="1:24" s="38" customFormat="1" ht="60" customHeight="1">
      <c r="A213" s="36" t="s">
        <v>1221</v>
      </c>
      <c r="B213" s="122">
        <v>126</v>
      </c>
      <c r="C213" s="1" t="s">
        <v>1559</v>
      </c>
      <c r="D213" s="106"/>
      <c r="E213" s="31"/>
      <c r="F213" s="3"/>
      <c r="G213" s="136">
        <v>21220004</v>
      </c>
      <c r="H213" s="1" t="s">
        <v>1555</v>
      </c>
      <c r="I213" s="9">
        <v>50000</v>
      </c>
      <c r="J213" s="9">
        <f t="shared" si="36"/>
        <v>9000</v>
      </c>
      <c r="K213" s="9">
        <f t="shared" si="39"/>
        <v>5000</v>
      </c>
      <c r="L213" s="7"/>
      <c r="M213" s="7"/>
      <c r="N213" s="9">
        <f t="shared" si="37"/>
        <v>59000</v>
      </c>
      <c r="O213" s="7" t="s">
        <v>1556</v>
      </c>
      <c r="P213" s="7"/>
      <c r="Q213" s="17" t="s">
        <v>731</v>
      </c>
      <c r="R213" s="9">
        <f t="shared" si="38"/>
        <v>54000</v>
      </c>
      <c r="S213" s="31">
        <f>R213</f>
        <v>54000</v>
      </c>
      <c r="T213" s="19" t="s">
        <v>1560</v>
      </c>
      <c r="U213" s="19"/>
      <c r="V213" s="19"/>
    </row>
    <row r="214" spans="1:24" s="38" customFormat="1" ht="60" customHeight="1">
      <c r="A214" s="36" t="s">
        <v>1221</v>
      </c>
      <c r="B214" s="122">
        <v>127</v>
      </c>
      <c r="C214" s="1" t="s">
        <v>1559</v>
      </c>
      <c r="D214" s="106"/>
      <c r="E214" s="31"/>
      <c r="F214" s="3"/>
      <c r="G214" s="136">
        <v>21220004</v>
      </c>
      <c r="H214" s="1" t="s">
        <v>1558</v>
      </c>
      <c r="I214" s="9">
        <v>100000</v>
      </c>
      <c r="J214" s="9">
        <f t="shared" si="36"/>
        <v>18000</v>
      </c>
      <c r="K214" s="9">
        <f t="shared" si="39"/>
        <v>10000</v>
      </c>
      <c r="L214" s="7"/>
      <c r="M214" s="7"/>
      <c r="N214" s="9">
        <f t="shared" si="37"/>
        <v>118000</v>
      </c>
      <c r="O214" s="7" t="s">
        <v>1556</v>
      </c>
      <c r="P214" s="7"/>
      <c r="Q214" s="17" t="s">
        <v>731</v>
      </c>
      <c r="R214" s="9">
        <f t="shared" si="38"/>
        <v>108000</v>
      </c>
      <c r="S214" s="31">
        <f>R214</f>
        <v>108000</v>
      </c>
      <c r="T214" s="19" t="s">
        <v>1560</v>
      </c>
      <c r="U214" s="19"/>
      <c r="V214" s="19"/>
    </row>
    <row r="215" spans="1:24" s="38" customFormat="1" ht="30" customHeight="1">
      <c r="A215" s="52" t="s">
        <v>1259</v>
      </c>
      <c r="B215" s="122">
        <v>172</v>
      </c>
      <c r="C215" s="1" t="s">
        <v>1260</v>
      </c>
      <c r="D215" s="106">
        <v>1150000</v>
      </c>
      <c r="E215" s="31"/>
      <c r="F215" s="3"/>
      <c r="G215" s="136">
        <v>21220011</v>
      </c>
      <c r="H215" s="1" t="s">
        <v>1561</v>
      </c>
      <c r="I215" s="9">
        <v>300000</v>
      </c>
      <c r="J215" s="9">
        <f t="shared" si="36"/>
        <v>54000</v>
      </c>
      <c r="K215" s="9">
        <f t="shared" si="39"/>
        <v>30000</v>
      </c>
      <c r="L215" s="7"/>
      <c r="M215" s="7"/>
      <c r="N215" s="9">
        <f t="shared" si="37"/>
        <v>354000</v>
      </c>
      <c r="O215" s="17" t="s">
        <v>1562</v>
      </c>
      <c r="P215" s="17"/>
      <c r="Q215" s="17" t="s">
        <v>731</v>
      </c>
      <c r="R215" s="9">
        <f t="shared" si="38"/>
        <v>324000</v>
      </c>
      <c r="S215" s="102">
        <f>R215</f>
        <v>324000</v>
      </c>
      <c r="T215" s="408" t="s">
        <v>1563</v>
      </c>
      <c r="U215" s="19"/>
      <c r="V215" s="19"/>
    </row>
    <row r="216" spans="1:24" s="38" customFormat="1" ht="90" customHeight="1">
      <c r="A216" s="36" t="s">
        <v>1221</v>
      </c>
      <c r="B216" s="8">
        <v>105</v>
      </c>
      <c r="C216" s="16" t="s">
        <v>1540</v>
      </c>
      <c r="D216" s="106">
        <v>395006</v>
      </c>
      <c r="E216" s="102" t="s">
        <v>1541</v>
      </c>
      <c r="F216" s="3"/>
      <c r="G216" s="136">
        <v>21220015</v>
      </c>
      <c r="H216" s="16" t="s">
        <v>1564</v>
      </c>
      <c r="I216" s="29">
        <v>15800</v>
      </c>
      <c r="J216" s="9">
        <f t="shared" ref="J216:J235" si="40">I216*18%</f>
        <v>2844</v>
      </c>
      <c r="K216" s="9">
        <f t="shared" si="39"/>
        <v>1580</v>
      </c>
      <c r="L216" s="7"/>
      <c r="M216" s="7"/>
      <c r="N216" s="9">
        <f t="shared" ref="N216:N235" si="41">I216+J216</f>
        <v>18644</v>
      </c>
      <c r="O216" s="17" t="s">
        <v>847</v>
      </c>
      <c r="P216" s="17"/>
      <c r="Q216" s="17" t="s">
        <v>731</v>
      </c>
      <c r="R216" s="9">
        <f t="shared" ref="R216:R234" si="42">N216-K216</f>
        <v>17064</v>
      </c>
      <c r="S216" s="19">
        <v>16200</v>
      </c>
      <c r="T216" s="408" t="s">
        <v>847</v>
      </c>
      <c r="U216" s="19"/>
      <c r="V216" s="19"/>
    </row>
    <row r="217" spans="1:24" s="38" customFormat="1" ht="30" customHeight="1">
      <c r="A217" s="52" t="s">
        <v>1259</v>
      </c>
      <c r="B217" s="8">
        <v>173</v>
      </c>
      <c r="C217" s="1" t="s">
        <v>1260</v>
      </c>
      <c r="D217" s="106">
        <v>1150000</v>
      </c>
      <c r="E217" s="31"/>
      <c r="F217" s="3"/>
      <c r="G217" s="136">
        <v>21220016</v>
      </c>
      <c r="H217" s="1" t="s">
        <v>653</v>
      </c>
      <c r="I217" s="9">
        <v>200000</v>
      </c>
      <c r="J217" s="9">
        <f t="shared" si="40"/>
        <v>36000</v>
      </c>
      <c r="K217" s="9">
        <f t="shared" si="39"/>
        <v>20000</v>
      </c>
      <c r="L217" s="7"/>
      <c r="M217" s="7"/>
      <c r="N217" s="9">
        <f t="shared" si="41"/>
        <v>236000</v>
      </c>
      <c r="O217" s="17" t="s">
        <v>1565</v>
      </c>
      <c r="P217" s="17"/>
      <c r="Q217" s="17" t="s">
        <v>731</v>
      </c>
      <c r="R217" s="9">
        <f t="shared" si="42"/>
        <v>216000</v>
      </c>
      <c r="S217" s="31">
        <f>R217</f>
        <v>216000</v>
      </c>
      <c r="T217" s="408" t="s">
        <v>1566</v>
      </c>
      <c r="U217" s="19"/>
      <c r="V217" s="19"/>
    </row>
    <row r="218" spans="1:24" s="38" customFormat="1" ht="30" customHeight="1" thickBot="1">
      <c r="A218" s="52" t="s">
        <v>1259</v>
      </c>
      <c r="B218" s="8">
        <v>174</v>
      </c>
      <c r="C218" s="1" t="s">
        <v>1260</v>
      </c>
      <c r="D218" s="106">
        <v>1150000</v>
      </c>
      <c r="E218" s="31"/>
      <c r="F218" s="3"/>
      <c r="G218" s="136">
        <v>21220016</v>
      </c>
      <c r="H218" s="1" t="s">
        <v>654</v>
      </c>
      <c r="I218" s="9">
        <v>200000</v>
      </c>
      <c r="J218" s="9">
        <f t="shared" si="40"/>
        <v>36000</v>
      </c>
      <c r="K218" s="9">
        <f t="shared" si="39"/>
        <v>20000</v>
      </c>
      <c r="L218" s="7"/>
      <c r="M218" s="7"/>
      <c r="N218" s="9">
        <f t="shared" si="41"/>
        <v>236000</v>
      </c>
      <c r="O218" s="17" t="s">
        <v>1565</v>
      </c>
      <c r="P218" s="17"/>
      <c r="Q218" s="17" t="s">
        <v>731</v>
      </c>
      <c r="R218" s="9">
        <f t="shared" si="42"/>
        <v>216000</v>
      </c>
      <c r="S218" s="31">
        <f>R218</f>
        <v>216000</v>
      </c>
      <c r="T218" s="408" t="s">
        <v>1566</v>
      </c>
      <c r="U218" s="19"/>
      <c r="V218" s="19"/>
    </row>
    <row r="219" spans="1:24" ht="30.75" customHeight="1" thickBot="1">
      <c r="A219" s="52" t="s">
        <v>1259</v>
      </c>
      <c r="B219" s="8">
        <v>175</v>
      </c>
      <c r="C219" s="3" t="s">
        <v>1260</v>
      </c>
      <c r="D219" s="31">
        <v>1150000</v>
      </c>
      <c r="E219" s="31"/>
      <c r="F219" s="3"/>
      <c r="G219" s="141">
        <v>21220016</v>
      </c>
      <c r="H219" s="129" t="s">
        <v>655</v>
      </c>
      <c r="I219" s="130">
        <v>200000</v>
      </c>
      <c r="J219" s="105">
        <f t="shared" si="40"/>
        <v>36000</v>
      </c>
      <c r="K219" s="105">
        <f t="shared" si="39"/>
        <v>20000</v>
      </c>
      <c r="L219" s="35"/>
      <c r="M219" s="35"/>
      <c r="N219" s="105">
        <f t="shared" si="41"/>
        <v>236000</v>
      </c>
      <c r="O219" s="119" t="s">
        <v>1565</v>
      </c>
      <c r="P219" s="119"/>
      <c r="Q219" s="119" t="s">
        <v>731</v>
      </c>
      <c r="R219" s="105">
        <f t="shared" si="42"/>
        <v>216000</v>
      </c>
      <c r="S219" s="31">
        <f>R219</f>
        <v>216000</v>
      </c>
      <c r="T219" s="408" t="s">
        <v>1566</v>
      </c>
      <c r="U219" s="19"/>
      <c r="V219" s="19"/>
    </row>
    <row r="220" spans="1:24" ht="90.75" customHeight="1" thickBot="1">
      <c r="B220" s="8">
        <v>95</v>
      </c>
      <c r="C220" s="161" t="s">
        <v>1529</v>
      </c>
      <c r="D220" s="31">
        <v>1400000</v>
      </c>
      <c r="E220" s="31" t="s">
        <v>1528</v>
      </c>
      <c r="F220" s="3"/>
      <c r="G220" s="141">
        <v>21220017</v>
      </c>
      <c r="H220" s="210" t="s">
        <v>830</v>
      </c>
      <c r="I220" s="178">
        <v>140000</v>
      </c>
      <c r="J220" s="105">
        <f t="shared" si="40"/>
        <v>25200</v>
      </c>
      <c r="K220" s="105">
        <f t="shared" si="39"/>
        <v>14000</v>
      </c>
      <c r="L220" s="35"/>
      <c r="M220" s="35"/>
      <c r="N220" s="105">
        <f t="shared" si="41"/>
        <v>165200</v>
      </c>
      <c r="O220" s="35" t="s">
        <v>1567</v>
      </c>
      <c r="P220" s="35"/>
      <c r="Q220" s="119" t="s">
        <v>731</v>
      </c>
      <c r="R220" s="105">
        <f t="shared" si="42"/>
        <v>151200</v>
      </c>
      <c r="S220" s="31">
        <f>N220</f>
        <v>165200</v>
      </c>
      <c r="T220" s="19" t="s">
        <v>1568</v>
      </c>
      <c r="U220" s="19"/>
      <c r="V220" s="19"/>
      <c r="W220" s="52"/>
      <c r="X220" s="52"/>
    </row>
    <row r="221" spans="1:24" s="38" customFormat="1" ht="30" customHeight="1">
      <c r="A221" s="52" t="s">
        <v>1259</v>
      </c>
      <c r="B221" s="8">
        <v>176</v>
      </c>
      <c r="C221" s="1" t="s">
        <v>1260</v>
      </c>
      <c r="D221" s="106">
        <v>1150000</v>
      </c>
      <c r="E221" s="31"/>
      <c r="F221" s="3"/>
      <c r="G221" s="136">
        <v>21220021</v>
      </c>
      <c r="H221" s="1" t="s">
        <v>1569</v>
      </c>
      <c r="I221" s="9">
        <v>150000</v>
      </c>
      <c r="J221" s="9">
        <f t="shared" si="40"/>
        <v>27000</v>
      </c>
      <c r="K221" s="9">
        <f t="shared" ref="K221:K235" si="43">I221*10%</f>
        <v>15000</v>
      </c>
      <c r="L221" s="7"/>
      <c r="M221" s="7"/>
      <c r="N221" s="9">
        <f t="shared" si="41"/>
        <v>177000</v>
      </c>
      <c r="O221" s="17" t="s">
        <v>1570</v>
      </c>
      <c r="P221" s="17"/>
      <c r="Q221" s="17" t="s">
        <v>731</v>
      </c>
      <c r="R221" s="9">
        <f t="shared" si="42"/>
        <v>162000</v>
      </c>
      <c r="S221" s="31">
        <f>R221</f>
        <v>162000</v>
      </c>
      <c r="T221" s="408" t="s">
        <v>1571</v>
      </c>
      <c r="U221" s="19"/>
      <c r="V221" s="19"/>
    </row>
    <row r="222" spans="1:24" ht="75" customHeight="1">
      <c r="B222" s="8">
        <v>148</v>
      </c>
      <c r="C222" s="3" t="s">
        <v>1270</v>
      </c>
      <c r="D222" s="31">
        <v>2600000</v>
      </c>
      <c r="E222" s="31" t="s">
        <v>1271</v>
      </c>
      <c r="F222" s="3"/>
      <c r="G222" s="141">
        <v>21220022</v>
      </c>
      <c r="H222" s="88" t="s">
        <v>618</v>
      </c>
      <c r="I222" s="105">
        <v>260000</v>
      </c>
      <c r="J222" s="9">
        <f t="shared" si="40"/>
        <v>46800</v>
      </c>
      <c r="K222" s="9">
        <f t="shared" si="43"/>
        <v>26000</v>
      </c>
      <c r="L222" s="7"/>
      <c r="M222" s="7"/>
      <c r="N222" s="9">
        <f t="shared" si="41"/>
        <v>306800</v>
      </c>
      <c r="O222" s="7"/>
      <c r="P222" s="7"/>
      <c r="Q222" s="17" t="s">
        <v>731</v>
      </c>
      <c r="R222" s="9">
        <f t="shared" si="42"/>
        <v>280800</v>
      </c>
      <c r="S222" s="31">
        <f>R222</f>
        <v>280800</v>
      </c>
      <c r="T222" s="7" t="s">
        <v>1572</v>
      </c>
      <c r="U222" s="19"/>
      <c r="V222" s="19"/>
    </row>
    <row r="223" spans="1:24" ht="60" customHeight="1">
      <c r="A223" s="52" t="s">
        <v>1259</v>
      </c>
      <c r="B223" s="8">
        <v>156</v>
      </c>
      <c r="C223" s="88" t="s">
        <v>1266</v>
      </c>
      <c r="D223" s="105">
        <v>700000</v>
      </c>
      <c r="E223" s="31" t="s">
        <v>1573</v>
      </c>
      <c r="F223" s="3"/>
      <c r="G223" s="142">
        <v>21220023</v>
      </c>
      <c r="H223" s="88" t="s">
        <v>618</v>
      </c>
      <c r="I223" s="105">
        <v>70000</v>
      </c>
      <c r="J223" s="9">
        <f t="shared" si="40"/>
        <v>12600</v>
      </c>
      <c r="K223" s="9">
        <f t="shared" si="43"/>
        <v>7000</v>
      </c>
      <c r="L223" s="7"/>
      <c r="M223" s="7"/>
      <c r="N223" s="9">
        <f t="shared" si="41"/>
        <v>82600</v>
      </c>
      <c r="O223" s="7" t="s">
        <v>805</v>
      </c>
      <c r="P223" s="7"/>
      <c r="Q223" s="17" t="s">
        <v>731</v>
      </c>
      <c r="R223" s="9">
        <f t="shared" si="42"/>
        <v>75600</v>
      </c>
      <c r="S223" s="31">
        <f>R223</f>
        <v>75600</v>
      </c>
      <c r="T223" s="19" t="s">
        <v>1574</v>
      </c>
      <c r="U223" s="19"/>
      <c r="V223" s="19"/>
    </row>
    <row r="224" spans="1:24" ht="60" customHeight="1">
      <c r="A224" s="52" t="s">
        <v>1259</v>
      </c>
      <c r="B224" s="8">
        <v>157</v>
      </c>
      <c r="C224" s="3" t="s">
        <v>1266</v>
      </c>
      <c r="D224" s="31">
        <v>700000</v>
      </c>
      <c r="E224" s="31" t="s">
        <v>1575</v>
      </c>
      <c r="F224" s="3"/>
      <c r="G224" s="141">
        <v>21220023</v>
      </c>
      <c r="H224" s="88" t="s">
        <v>1272</v>
      </c>
      <c r="I224" s="105">
        <v>70000</v>
      </c>
      <c r="J224" s="9">
        <f t="shared" si="40"/>
        <v>12600</v>
      </c>
      <c r="K224" s="9">
        <f t="shared" si="43"/>
        <v>7000</v>
      </c>
      <c r="L224" s="7"/>
      <c r="M224" s="7"/>
      <c r="N224" s="9">
        <f t="shared" si="41"/>
        <v>82600</v>
      </c>
      <c r="O224" s="7" t="s">
        <v>805</v>
      </c>
      <c r="P224" s="7"/>
      <c r="Q224" s="17" t="s">
        <v>731</v>
      </c>
      <c r="R224" s="9">
        <f t="shared" si="42"/>
        <v>75600</v>
      </c>
      <c r="S224" s="31">
        <f>R224</f>
        <v>75600</v>
      </c>
      <c r="T224" s="19" t="s">
        <v>1574</v>
      </c>
      <c r="U224" s="19"/>
      <c r="V224" s="19"/>
    </row>
    <row r="225" spans="1:24" ht="90" customHeight="1">
      <c r="B225" s="8">
        <v>84</v>
      </c>
      <c r="C225" s="88" t="s">
        <v>1527</v>
      </c>
      <c r="D225" s="105">
        <v>1600000</v>
      </c>
      <c r="E225" s="31" t="s">
        <v>1528</v>
      </c>
      <c r="F225" s="3"/>
      <c r="G225" s="142">
        <v>21220026</v>
      </c>
      <c r="H225" s="199" t="s">
        <v>751</v>
      </c>
      <c r="I225" s="128">
        <v>320000</v>
      </c>
      <c r="J225" s="9">
        <f t="shared" si="40"/>
        <v>57600</v>
      </c>
      <c r="K225" s="9">
        <f t="shared" si="43"/>
        <v>32000</v>
      </c>
      <c r="L225" s="7"/>
      <c r="M225" s="7"/>
      <c r="N225" s="9">
        <f t="shared" si="41"/>
        <v>377600</v>
      </c>
      <c r="O225" s="7" t="s">
        <v>805</v>
      </c>
      <c r="P225" s="7"/>
      <c r="Q225" s="17" t="s">
        <v>731</v>
      </c>
      <c r="R225" s="9">
        <f t="shared" si="42"/>
        <v>345600</v>
      </c>
      <c r="S225" s="31">
        <f>N225</f>
        <v>377600</v>
      </c>
      <c r="T225" s="19" t="s">
        <v>1576</v>
      </c>
      <c r="U225" s="19"/>
      <c r="V225" s="19"/>
    </row>
    <row r="226" spans="1:24" ht="90" customHeight="1" thickBot="1">
      <c r="B226" s="8">
        <v>85</v>
      </c>
      <c r="C226" s="88" t="s">
        <v>1527</v>
      </c>
      <c r="D226" s="105">
        <v>1600000</v>
      </c>
      <c r="E226" s="31" t="s">
        <v>1528</v>
      </c>
      <c r="F226" s="3"/>
      <c r="G226" s="142">
        <v>21220026</v>
      </c>
      <c r="H226" s="199" t="s">
        <v>760</v>
      </c>
      <c r="I226" s="128">
        <v>240000</v>
      </c>
      <c r="J226" s="9">
        <f t="shared" si="40"/>
        <v>43200</v>
      </c>
      <c r="K226" s="9">
        <f t="shared" si="43"/>
        <v>24000</v>
      </c>
      <c r="L226" s="7"/>
      <c r="M226" s="7"/>
      <c r="N226" s="9">
        <f t="shared" si="41"/>
        <v>283200</v>
      </c>
      <c r="O226" s="7" t="s">
        <v>805</v>
      </c>
      <c r="P226" s="7"/>
      <c r="Q226" s="17" t="s">
        <v>731</v>
      </c>
      <c r="R226" s="9">
        <f t="shared" si="42"/>
        <v>259200</v>
      </c>
      <c r="S226" s="31">
        <f>N226</f>
        <v>283200</v>
      </c>
      <c r="T226" s="19" t="s">
        <v>1576</v>
      </c>
      <c r="U226" s="19"/>
      <c r="V226" s="19"/>
    </row>
    <row r="227" spans="1:24" ht="90.75" customHeight="1" thickBot="1">
      <c r="B227" s="8">
        <v>86</v>
      </c>
      <c r="C227" s="3" t="s">
        <v>1527</v>
      </c>
      <c r="D227" s="31">
        <v>1600000</v>
      </c>
      <c r="E227" s="31" t="s">
        <v>1528</v>
      </c>
      <c r="F227" s="3"/>
      <c r="G227" s="141">
        <v>21220026</v>
      </c>
      <c r="H227" s="210" t="s">
        <v>761</v>
      </c>
      <c r="I227" s="178">
        <v>240000</v>
      </c>
      <c r="J227" s="105">
        <f t="shared" si="40"/>
        <v>43200</v>
      </c>
      <c r="K227" s="31">
        <f t="shared" si="43"/>
        <v>24000</v>
      </c>
      <c r="L227" s="19"/>
      <c r="M227" s="19"/>
      <c r="N227" s="31">
        <f t="shared" si="41"/>
        <v>283200</v>
      </c>
      <c r="O227" s="35" t="s">
        <v>805</v>
      </c>
      <c r="P227" s="19"/>
      <c r="Q227" s="408" t="s">
        <v>731</v>
      </c>
      <c r="R227" s="31">
        <f t="shared" si="42"/>
        <v>259200</v>
      </c>
      <c r="S227" s="31">
        <f>N227</f>
        <v>283200</v>
      </c>
      <c r="T227" s="19" t="s">
        <v>1576</v>
      </c>
      <c r="U227" s="19"/>
      <c r="V227" s="19"/>
    </row>
    <row r="228" spans="1:24" ht="60" customHeight="1">
      <c r="A228" s="52" t="s">
        <v>1259</v>
      </c>
      <c r="B228" s="8">
        <v>158</v>
      </c>
      <c r="C228" s="3" t="s">
        <v>1266</v>
      </c>
      <c r="D228" s="31">
        <v>700000</v>
      </c>
      <c r="E228" s="31" t="s">
        <v>1577</v>
      </c>
      <c r="F228" s="3"/>
      <c r="G228" s="141">
        <v>21220029</v>
      </c>
      <c r="H228" s="88" t="s">
        <v>1286</v>
      </c>
      <c r="I228" s="105">
        <v>70000</v>
      </c>
      <c r="J228" s="9">
        <f t="shared" si="40"/>
        <v>12600</v>
      </c>
      <c r="K228" s="9">
        <f t="shared" si="43"/>
        <v>7000</v>
      </c>
      <c r="L228" s="7"/>
      <c r="M228" s="7"/>
      <c r="N228" s="9">
        <f t="shared" si="41"/>
        <v>82600</v>
      </c>
      <c r="O228" s="7" t="s">
        <v>1578</v>
      </c>
      <c r="P228" s="7"/>
      <c r="Q228" s="17" t="s">
        <v>731</v>
      </c>
      <c r="R228" s="9">
        <f t="shared" si="42"/>
        <v>75600</v>
      </c>
      <c r="S228" s="31">
        <f>R228</f>
        <v>75600</v>
      </c>
      <c r="T228" s="19" t="s">
        <v>1579</v>
      </c>
      <c r="U228" s="19"/>
      <c r="V228" s="19"/>
    </row>
    <row r="229" spans="1:24" ht="60" customHeight="1">
      <c r="A229" s="52" t="s">
        <v>1259</v>
      </c>
      <c r="B229" s="8">
        <v>159</v>
      </c>
      <c r="C229" s="3" t="s">
        <v>1266</v>
      </c>
      <c r="D229" s="31">
        <v>700000</v>
      </c>
      <c r="E229" s="31" t="s">
        <v>1580</v>
      </c>
      <c r="F229" s="3"/>
      <c r="G229" s="141">
        <v>21220029</v>
      </c>
      <c r="H229" s="88" t="s">
        <v>1316</v>
      </c>
      <c r="I229" s="105">
        <v>140000</v>
      </c>
      <c r="J229" s="9">
        <f t="shared" si="40"/>
        <v>25200</v>
      </c>
      <c r="K229" s="9">
        <f t="shared" si="43"/>
        <v>14000</v>
      </c>
      <c r="L229" s="7"/>
      <c r="M229" s="7"/>
      <c r="N229" s="9">
        <f t="shared" si="41"/>
        <v>165200</v>
      </c>
      <c r="O229" s="7" t="s">
        <v>1578</v>
      </c>
      <c r="P229" s="7"/>
      <c r="Q229" s="17" t="s">
        <v>731</v>
      </c>
      <c r="R229" s="9">
        <f t="shared" si="42"/>
        <v>151200</v>
      </c>
      <c r="S229" s="31">
        <f>R229</f>
        <v>151200</v>
      </c>
      <c r="T229" s="19" t="s">
        <v>1579</v>
      </c>
      <c r="U229" s="19"/>
      <c r="V229" s="19"/>
    </row>
    <row r="230" spans="1:24" ht="90" customHeight="1">
      <c r="A230" s="36" t="s">
        <v>1221</v>
      </c>
      <c r="B230" s="8">
        <v>124</v>
      </c>
      <c r="C230" s="3" t="s">
        <v>1553</v>
      </c>
      <c r="D230" s="31">
        <v>250000</v>
      </c>
      <c r="E230" s="31" t="s">
        <v>1554</v>
      </c>
      <c r="F230" s="3"/>
      <c r="G230" s="141">
        <v>21220030</v>
      </c>
      <c r="H230" s="3" t="s">
        <v>1581</v>
      </c>
      <c r="I230" s="31">
        <v>75000</v>
      </c>
      <c r="J230" s="31">
        <f t="shared" si="40"/>
        <v>13500</v>
      </c>
      <c r="K230" s="31">
        <f t="shared" si="43"/>
        <v>7500</v>
      </c>
      <c r="L230" s="19"/>
      <c r="M230" s="19"/>
      <c r="N230" s="31">
        <f t="shared" si="41"/>
        <v>88500</v>
      </c>
      <c r="O230" s="19" t="s">
        <v>816</v>
      </c>
      <c r="P230" s="19"/>
      <c r="Q230" s="408" t="s">
        <v>731</v>
      </c>
      <c r="R230" s="31">
        <f t="shared" si="42"/>
        <v>81000</v>
      </c>
      <c r="S230" s="19"/>
      <c r="T230" s="19"/>
      <c r="U230" s="19"/>
      <c r="V230" s="19"/>
    </row>
    <row r="231" spans="1:24" ht="90" customHeight="1">
      <c r="A231" s="36" t="s">
        <v>1221</v>
      </c>
      <c r="B231" s="8">
        <v>125</v>
      </c>
      <c r="C231" s="3" t="s">
        <v>1553</v>
      </c>
      <c r="D231" s="31">
        <v>250000</v>
      </c>
      <c r="E231" s="31" t="s">
        <v>1554</v>
      </c>
      <c r="F231" s="3"/>
      <c r="G231" s="141">
        <v>21220030</v>
      </c>
      <c r="H231" s="3" t="s">
        <v>1582</v>
      </c>
      <c r="I231" s="31">
        <v>50000</v>
      </c>
      <c r="J231" s="31">
        <f t="shared" si="40"/>
        <v>9000</v>
      </c>
      <c r="K231" s="31">
        <f t="shared" si="43"/>
        <v>5000</v>
      </c>
      <c r="L231" s="19"/>
      <c r="M231" s="19"/>
      <c r="N231" s="31">
        <f t="shared" si="41"/>
        <v>59000</v>
      </c>
      <c r="O231" s="19" t="s">
        <v>816</v>
      </c>
      <c r="P231" s="19"/>
      <c r="Q231" s="17" t="s">
        <v>731</v>
      </c>
      <c r="R231" s="31">
        <f t="shared" si="42"/>
        <v>54000</v>
      </c>
      <c r="S231" s="19"/>
      <c r="T231" s="19"/>
      <c r="U231" s="19"/>
      <c r="V231" s="19"/>
    </row>
    <row r="232" spans="1:24" ht="45" customHeight="1">
      <c r="A232" s="36" t="s">
        <v>1221</v>
      </c>
      <c r="B232" s="8">
        <v>128</v>
      </c>
      <c r="C232" s="3" t="s">
        <v>1559</v>
      </c>
      <c r="D232" s="31"/>
      <c r="E232" s="31"/>
      <c r="F232" s="3"/>
      <c r="G232" s="141">
        <v>21220031</v>
      </c>
      <c r="H232" s="3" t="s">
        <v>1581</v>
      </c>
      <c r="I232" s="31">
        <v>50000</v>
      </c>
      <c r="J232" s="31">
        <f t="shared" si="40"/>
        <v>9000</v>
      </c>
      <c r="K232" s="31">
        <f t="shared" si="43"/>
        <v>5000</v>
      </c>
      <c r="L232" s="19"/>
      <c r="M232" s="19"/>
      <c r="N232" s="31">
        <f t="shared" si="41"/>
        <v>59000</v>
      </c>
      <c r="O232" t="s">
        <v>821</v>
      </c>
      <c r="Q232" s="17" t="s">
        <v>731</v>
      </c>
      <c r="R232" s="31">
        <f t="shared" si="42"/>
        <v>54000</v>
      </c>
      <c r="S232" s="19"/>
      <c r="T232" s="19"/>
      <c r="U232" s="19"/>
      <c r="V232" s="19"/>
    </row>
    <row r="233" spans="1:24" ht="45" customHeight="1">
      <c r="A233" s="36" t="s">
        <v>1221</v>
      </c>
      <c r="B233" s="8">
        <v>129</v>
      </c>
      <c r="C233" s="3" t="s">
        <v>1559</v>
      </c>
      <c r="D233" s="31"/>
      <c r="E233" s="31"/>
      <c r="F233" s="3"/>
      <c r="G233" s="141">
        <v>21220031</v>
      </c>
      <c r="H233" s="3" t="s">
        <v>1582</v>
      </c>
      <c r="I233" s="31">
        <v>50000</v>
      </c>
      <c r="J233" s="31">
        <f t="shared" si="40"/>
        <v>9000</v>
      </c>
      <c r="K233" s="31">
        <f t="shared" si="43"/>
        <v>5000</v>
      </c>
      <c r="L233" s="19"/>
      <c r="M233" s="19"/>
      <c r="N233" s="31">
        <f t="shared" si="41"/>
        <v>59000</v>
      </c>
      <c r="O233" t="s">
        <v>821</v>
      </c>
      <c r="Q233" s="17" t="s">
        <v>731</v>
      </c>
      <c r="R233" s="31">
        <f t="shared" si="42"/>
        <v>54000</v>
      </c>
      <c r="S233" s="19"/>
      <c r="T233" s="19"/>
      <c r="U233" s="19"/>
      <c r="V233" s="19"/>
    </row>
    <row r="234" spans="1:24" ht="30" customHeight="1">
      <c r="A234" s="38" t="s">
        <v>1221</v>
      </c>
      <c r="B234" s="98">
        <v>178</v>
      </c>
      <c r="C234" s="97" t="s">
        <v>1260</v>
      </c>
      <c r="D234" s="63">
        <v>1150000</v>
      </c>
      <c r="E234" s="63"/>
      <c r="F234" s="61"/>
      <c r="G234" s="144">
        <v>23240007</v>
      </c>
      <c r="H234" s="61" t="s">
        <v>907</v>
      </c>
      <c r="I234" s="63">
        <v>50000</v>
      </c>
      <c r="J234" s="63">
        <f t="shared" si="40"/>
        <v>9000</v>
      </c>
      <c r="K234" s="63">
        <f t="shared" si="43"/>
        <v>5000</v>
      </c>
      <c r="L234" s="64"/>
      <c r="M234" s="64"/>
      <c r="N234" s="63">
        <f t="shared" si="41"/>
        <v>59000</v>
      </c>
      <c r="O234" s="64" t="s">
        <v>1583</v>
      </c>
      <c r="P234" s="64"/>
      <c r="Q234" s="49" t="s">
        <v>839</v>
      </c>
      <c r="R234" s="63">
        <f t="shared" si="42"/>
        <v>54000</v>
      </c>
      <c r="S234" s="64"/>
      <c r="T234" s="64"/>
      <c r="U234" s="64"/>
      <c r="V234" s="64"/>
    </row>
    <row r="235" spans="1:24" ht="30" customHeight="1">
      <c r="A235" s="52" t="s">
        <v>1259</v>
      </c>
      <c r="B235" s="98"/>
      <c r="C235" s="97" t="s">
        <v>1260</v>
      </c>
      <c r="D235" s="120">
        <v>50000</v>
      </c>
      <c r="E235" s="98"/>
      <c r="F235" s="98"/>
      <c r="G235" s="98">
        <v>23240008</v>
      </c>
      <c r="H235" s="93" t="s">
        <v>1584</v>
      </c>
      <c r="I235" s="63">
        <v>50000</v>
      </c>
      <c r="J235" s="63">
        <f t="shared" si="40"/>
        <v>9000</v>
      </c>
      <c r="K235" s="63">
        <f t="shared" si="43"/>
        <v>5000</v>
      </c>
      <c r="L235" s="64"/>
      <c r="M235" s="64"/>
      <c r="N235" s="63">
        <f t="shared" si="41"/>
        <v>59000</v>
      </c>
      <c r="O235" s="98" t="s">
        <v>875</v>
      </c>
      <c r="P235" s="98"/>
      <c r="Q235" s="49" t="s">
        <v>839</v>
      </c>
      <c r="R235" s="98"/>
      <c r="S235" s="98"/>
      <c r="T235" s="98"/>
      <c r="U235" s="98"/>
      <c r="V235" s="98"/>
    </row>
    <row r="236" spans="1:24" ht="15" customHeight="1">
      <c r="A236" s="52"/>
      <c r="B236" s="98"/>
      <c r="C236" s="93" t="s">
        <v>1313</v>
      </c>
      <c r="D236" s="120">
        <v>800000</v>
      </c>
      <c r="E236" s="375" t="s">
        <v>1314</v>
      </c>
      <c r="F236" s="98"/>
      <c r="G236" s="98">
        <v>23240009</v>
      </c>
      <c r="H236" s="223" t="s">
        <v>665</v>
      </c>
      <c r="I236" s="153">
        <v>160000</v>
      </c>
      <c r="J236" s="98"/>
      <c r="K236" s="98"/>
      <c r="L236" s="98"/>
      <c r="M236" s="98"/>
      <c r="N236" s="98"/>
      <c r="O236" s="98" t="s">
        <v>863</v>
      </c>
      <c r="P236" s="98"/>
      <c r="Q236" s="56" t="s">
        <v>839</v>
      </c>
      <c r="R236" s="98"/>
      <c r="S236" s="98"/>
      <c r="T236" s="98"/>
      <c r="U236" s="98"/>
      <c r="V236" s="98"/>
    </row>
    <row r="237" spans="1:24" ht="15.75" customHeight="1">
      <c r="A237" s="52"/>
      <c r="B237" s="98"/>
      <c r="C237" s="93" t="s">
        <v>1324</v>
      </c>
      <c r="D237" s="120">
        <v>1475000</v>
      </c>
      <c r="E237" s="98" t="s">
        <v>1325</v>
      </c>
      <c r="F237" s="98"/>
      <c r="G237" s="98">
        <v>23240011</v>
      </c>
      <c r="H237" s="188" t="s">
        <v>763</v>
      </c>
      <c r="I237" s="120">
        <v>221250</v>
      </c>
      <c r="J237" s="98">
        <f>I237*18%</f>
        <v>39825</v>
      </c>
      <c r="K237" s="98">
        <f>I237*10%</f>
        <v>22125</v>
      </c>
      <c r="L237" s="98"/>
      <c r="M237" s="98"/>
      <c r="N237" s="98">
        <f>I237+J237</f>
        <v>261075</v>
      </c>
      <c r="O237" s="98" t="s">
        <v>1585</v>
      </c>
      <c r="P237" s="98" t="s">
        <v>988</v>
      </c>
      <c r="Q237" s="49" t="s">
        <v>839</v>
      </c>
      <c r="R237" s="98">
        <f>N237-K237</f>
        <v>238950</v>
      </c>
      <c r="S237" s="98"/>
      <c r="T237" s="98"/>
      <c r="U237" s="98"/>
      <c r="V237" s="98"/>
    </row>
    <row r="238" spans="1:24" ht="15.75" customHeight="1">
      <c r="A238" s="52"/>
      <c r="B238" s="98"/>
      <c r="C238" s="93" t="s">
        <v>1324</v>
      </c>
      <c r="D238" s="120">
        <v>1475000</v>
      </c>
      <c r="E238" s="98" t="s">
        <v>1325</v>
      </c>
      <c r="F238" s="98"/>
      <c r="G238" s="98">
        <v>23240011</v>
      </c>
      <c r="H238" s="188" t="s">
        <v>764</v>
      </c>
      <c r="I238" s="120">
        <v>221250</v>
      </c>
      <c r="J238" s="98">
        <f>I238*18%</f>
        <v>39825</v>
      </c>
      <c r="K238" s="98">
        <f>I238*10%</f>
        <v>22125</v>
      </c>
      <c r="L238" s="98"/>
      <c r="M238" s="98"/>
      <c r="N238" s="98">
        <f>I238+J238</f>
        <v>261075</v>
      </c>
      <c r="O238" s="98" t="s">
        <v>1585</v>
      </c>
      <c r="P238" s="98"/>
      <c r="Q238" s="49" t="s">
        <v>839</v>
      </c>
      <c r="R238" s="98">
        <f>N238-K238</f>
        <v>238950</v>
      </c>
      <c r="S238" s="98"/>
      <c r="T238" s="98"/>
      <c r="U238" s="98"/>
      <c r="V238" s="98"/>
    </row>
    <row r="239" spans="1:24" ht="14.65" customHeight="1">
      <c r="A239" s="52"/>
      <c r="B239" s="98"/>
      <c r="C239" s="93" t="s">
        <v>1586</v>
      </c>
      <c r="D239" s="120">
        <v>1000000</v>
      </c>
      <c r="E239" s="98" t="s">
        <v>1587</v>
      </c>
      <c r="F239" s="98"/>
      <c r="G239" s="98">
        <v>23240013</v>
      </c>
      <c r="H239" s="93" t="s">
        <v>1588</v>
      </c>
      <c r="I239" s="128">
        <v>150000</v>
      </c>
      <c r="J239" s="98"/>
      <c r="K239" s="98"/>
      <c r="L239" s="98"/>
      <c r="M239" s="98"/>
      <c r="N239" s="98"/>
      <c r="O239" s="98" t="s">
        <v>1589</v>
      </c>
      <c r="P239" s="98"/>
      <c r="Q239" s="56" t="s">
        <v>839</v>
      </c>
      <c r="R239" s="98"/>
      <c r="S239" s="98"/>
      <c r="T239" s="98"/>
      <c r="U239" s="98"/>
      <c r="V239" s="98"/>
    </row>
    <row r="240" spans="1:24" ht="14.65" customHeight="1">
      <c r="A240" s="52"/>
      <c r="B240" s="98"/>
      <c r="C240" s="93" t="s">
        <v>1367</v>
      </c>
      <c r="D240" s="120">
        <v>1500000</v>
      </c>
      <c r="E240" s="98" t="s">
        <v>1368</v>
      </c>
      <c r="F240" s="98"/>
      <c r="G240" s="98">
        <v>23240016</v>
      </c>
      <c r="H240" s="93" t="s">
        <v>875</v>
      </c>
      <c r="I240" s="120">
        <f>D240*15%</f>
        <v>225000</v>
      </c>
      <c r="J240" s="98"/>
      <c r="K240" s="98"/>
      <c r="L240" s="98"/>
      <c r="M240" s="98"/>
      <c r="N240" s="98"/>
      <c r="O240" s="98" t="s">
        <v>1590</v>
      </c>
      <c r="P240" s="98"/>
      <c r="Q240" s="56" t="s">
        <v>839</v>
      </c>
      <c r="R240" s="98"/>
      <c r="S240" s="98"/>
      <c r="T240" s="98" t="s">
        <v>1591</v>
      </c>
      <c r="U240" s="98"/>
      <c r="V240" s="98"/>
      <c r="W240" s="52"/>
      <c r="X240" s="52"/>
    </row>
    <row r="241" spans="1:24" ht="14.65" customHeight="1">
      <c r="A241" s="52"/>
      <c r="B241" s="98"/>
      <c r="C241" s="93" t="s">
        <v>1400</v>
      </c>
      <c r="D241" s="120">
        <v>3500000</v>
      </c>
      <c r="E241" s="52" t="s">
        <v>1368</v>
      </c>
      <c r="F241" s="52"/>
      <c r="G241" s="98">
        <v>23240017</v>
      </c>
      <c r="H241" s="93" t="s">
        <v>875</v>
      </c>
      <c r="I241" s="86">
        <f>D241*15%</f>
        <v>525000</v>
      </c>
      <c r="J241" s="166">
        <f>I241*0.18</f>
        <v>94500</v>
      </c>
      <c r="O241" s="52" t="s">
        <v>1590</v>
      </c>
      <c r="P241" s="52"/>
      <c r="Q241" s="56" t="s">
        <v>839</v>
      </c>
      <c r="R241" s="52"/>
      <c r="S241" s="52"/>
      <c r="T241" s="52" t="s">
        <v>1591</v>
      </c>
      <c r="U241" s="52"/>
      <c r="V241" s="52"/>
    </row>
    <row r="242" spans="1:24" ht="14.65" customHeight="1" thickBot="1">
      <c r="A242" s="52"/>
      <c r="B242" s="98"/>
      <c r="C242" s="93" t="s">
        <v>1592</v>
      </c>
      <c r="D242" s="120">
        <v>1400000</v>
      </c>
      <c r="E242" s="52" t="s">
        <v>1593</v>
      </c>
      <c r="F242" s="52"/>
      <c r="G242" s="52">
        <v>23240018</v>
      </c>
      <c r="H242" s="93" t="s">
        <v>711</v>
      </c>
      <c r="I242" s="86">
        <v>210000</v>
      </c>
      <c r="J242" s="52"/>
      <c r="O242" s="52" t="s">
        <v>1594</v>
      </c>
      <c r="P242" s="52"/>
      <c r="Q242" s="98" t="s">
        <v>839</v>
      </c>
      <c r="R242" s="52"/>
      <c r="S242" s="52"/>
      <c r="T242" s="52"/>
      <c r="U242" s="52"/>
      <c r="V242" s="52"/>
      <c r="W242" s="52"/>
      <c r="X242" s="52"/>
    </row>
    <row r="243" spans="1:24" ht="30.75" customHeight="1" thickBot="1">
      <c r="A243" s="38"/>
      <c r="B243" s="134"/>
      <c r="C243" s="97" t="s">
        <v>1293</v>
      </c>
      <c r="D243" s="63">
        <v>1500000</v>
      </c>
      <c r="E243" s="83" t="s">
        <v>1290</v>
      </c>
      <c r="F243" s="38"/>
      <c r="G243" s="124">
        <v>23240019</v>
      </c>
      <c r="H243" s="100" t="s">
        <v>1595</v>
      </c>
      <c r="I243" s="103">
        <f>400000/8</f>
        <v>50000</v>
      </c>
      <c r="J243" s="44">
        <f>I243*18%</f>
        <v>9000</v>
      </c>
      <c r="K243" s="63">
        <f>I243*10%</f>
        <v>5000</v>
      </c>
      <c r="L243" s="65"/>
      <c r="M243" s="65"/>
      <c r="N243" s="63">
        <f>I243+J243</f>
        <v>59000</v>
      </c>
      <c r="O243" s="65" t="s">
        <v>1596</v>
      </c>
      <c r="P243" s="65"/>
      <c r="Q243" s="64" t="s">
        <v>839</v>
      </c>
      <c r="R243" s="62">
        <f>N243-K243</f>
        <v>54000</v>
      </c>
      <c r="S243" s="38"/>
      <c r="T243" s="38"/>
      <c r="U243" s="38"/>
      <c r="V243" s="38"/>
    </row>
    <row r="244" spans="1:24" ht="15.75" customHeight="1">
      <c r="A244" s="52"/>
      <c r="B244" s="52"/>
      <c r="C244" s="80" t="s">
        <v>1409</v>
      </c>
      <c r="D244" s="86">
        <v>2600000</v>
      </c>
      <c r="E244" s="52" t="s">
        <v>1597</v>
      </c>
      <c r="F244" s="52"/>
      <c r="G244" s="52">
        <v>23240020</v>
      </c>
      <c r="H244" s="109" t="s">
        <v>618</v>
      </c>
      <c r="I244" s="102">
        <v>390000</v>
      </c>
      <c r="J244" s="52"/>
      <c r="O244" s="52" t="s">
        <v>1598</v>
      </c>
      <c r="P244" s="52"/>
      <c r="Q244" s="98" t="s">
        <v>839</v>
      </c>
      <c r="R244" s="52"/>
      <c r="S244" s="52"/>
      <c r="T244" s="52"/>
      <c r="U244" s="52"/>
      <c r="V244" s="52"/>
    </row>
    <row r="245" spans="1:24" ht="30" customHeight="1" thickBot="1">
      <c r="A245" s="38"/>
      <c r="B245" s="38"/>
      <c r="C245" s="85" t="s">
        <v>1302</v>
      </c>
      <c r="D245" s="62">
        <v>1700000</v>
      </c>
      <c r="E245" s="83" t="s">
        <v>1303</v>
      </c>
      <c r="F245" s="38"/>
      <c r="G245" s="92">
        <v>23240021</v>
      </c>
      <c r="H245" s="94" t="s">
        <v>1396</v>
      </c>
      <c r="I245" s="63">
        <f>255000/2</f>
        <v>127500</v>
      </c>
      <c r="J245" s="63">
        <f>I245*18%</f>
        <v>22950</v>
      </c>
      <c r="K245" s="63">
        <f>I245*10%</f>
        <v>12750</v>
      </c>
      <c r="L245" s="64"/>
      <c r="M245" s="64"/>
      <c r="N245" s="63">
        <f>I245+J245</f>
        <v>150450</v>
      </c>
      <c r="O245" s="64" t="s">
        <v>1599</v>
      </c>
      <c r="P245" s="64"/>
      <c r="Q245" s="64" t="s">
        <v>839</v>
      </c>
      <c r="R245" s="63">
        <f>N245-K245</f>
        <v>137700</v>
      </c>
      <c r="S245" s="38"/>
      <c r="T245" s="38"/>
      <c r="U245" s="38"/>
      <c r="V245" s="38"/>
    </row>
    <row r="246" spans="1:24" ht="45.75" customHeight="1" thickBot="1">
      <c r="A246" s="38"/>
      <c r="B246" s="38"/>
      <c r="C246" s="85" t="s">
        <v>1307</v>
      </c>
      <c r="D246" s="62">
        <v>800000</v>
      </c>
      <c r="E246" s="83" t="s">
        <v>1303</v>
      </c>
      <c r="F246" s="38"/>
      <c r="G246" s="92">
        <v>23240021</v>
      </c>
      <c r="H246" s="100" t="s">
        <v>1398</v>
      </c>
      <c r="I246" s="103">
        <f>480000/2</f>
        <v>240000</v>
      </c>
      <c r="J246" s="62">
        <f>I246*18%</f>
        <v>43200</v>
      </c>
      <c r="K246" s="62">
        <f>I246*10%</f>
        <v>24000</v>
      </c>
      <c r="L246" s="65"/>
      <c r="M246" s="65"/>
      <c r="N246" s="62">
        <f>I246+J246</f>
        <v>283200</v>
      </c>
      <c r="O246" s="65" t="s">
        <v>1599</v>
      </c>
      <c r="P246" s="65"/>
      <c r="Q246" s="64" t="s">
        <v>839</v>
      </c>
      <c r="R246" s="62">
        <f>N246-K246</f>
        <v>259200</v>
      </c>
      <c r="S246" s="38"/>
      <c r="T246" s="38"/>
      <c r="U246" s="38"/>
      <c r="V246" s="38"/>
    </row>
    <row r="247" spans="1:24" ht="16.5" customHeight="1" thickBot="1">
      <c r="A247" s="52"/>
      <c r="B247" s="52"/>
      <c r="C247" s="80" t="s">
        <v>1324</v>
      </c>
      <c r="D247" s="86">
        <v>1475000</v>
      </c>
      <c r="E247" s="52" t="s">
        <v>1325</v>
      </c>
      <c r="F247" s="52"/>
      <c r="G247" s="52">
        <v>23240022</v>
      </c>
      <c r="H247" s="390" t="s">
        <v>765</v>
      </c>
      <c r="I247" s="150">
        <v>295000</v>
      </c>
      <c r="J247" s="56">
        <f>I247*18%</f>
        <v>53100</v>
      </c>
      <c r="K247" s="98">
        <f>I247*10%</f>
        <v>29500</v>
      </c>
      <c r="L247" s="98"/>
      <c r="M247" s="98"/>
      <c r="N247" s="98">
        <f>I247+J247</f>
        <v>348100</v>
      </c>
      <c r="O247" s="98" t="s">
        <v>1599</v>
      </c>
      <c r="P247" s="98"/>
      <c r="Q247" s="64" t="s">
        <v>839</v>
      </c>
      <c r="R247" s="98">
        <f>N247-K247</f>
        <v>318600</v>
      </c>
      <c r="S247" s="52"/>
      <c r="T247" s="52"/>
      <c r="U247" s="52"/>
      <c r="V247" s="52"/>
    </row>
    <row r="248" spans="1:24" ht="15.75" customHeight="1" thickBot="1">
      <c r="A248" s="52"/>
      <c r="B248" s="52"/>
      <c r="C248" s="80" t="s">
        <v>1400</v>
      </c>
      <c r="D248" s="86">
        <v>3500000</v>
      </c>
      <c r="E248" s="52" t="s">
        <v>1368</v>
      </c>
      <c r="F248" s="52"/>
      <c r="G248" s="98">
        <v>23240023</v>
      </c>
      <c r="H248" s="96" t="s">
        <v>1600</v>
      </c>
      <c r="I248" s="150">
        <f>D248*10%</f>
        <v>350000</v>
      </c>
      <c r="J248" s="440">
        <f>I248*0.18</f>
        <v>63000</v>
      </c>
      <c r="K248" s="98"/>
      <c r="N248" s="98"/>
      <c r="O248" s="52" t="s">
        <v>1601</v>
      </c>
      <c r="P248" s="52"/>
      <c r="Q248" s="98" t="s">
        <v>839</v>
      </c>
      <c r="R248" s="52"/>
      <c r="S248" s="52"/>
      <c r="T248" s="52"/>
      <c r="U248" s="52"/>
      <c r="V248" s="52"/>
    </row>
    <row r="249" spans="1:24" ht="16.5" customHeight="1" thickBot="1">
      <c r="A249" s="52"/>
      <c r="B249" s="52"/>
      <c r="C249" s="80" t="s">
        <v>1586</v>
      </c>
      <c r="D249" s="86">
        <v>1000000</v>
      </c>
      <c r="E249" s="52" t="s">
        <v>1587</v>
      </c>
      <c r="F249" s="52"/>
      <c r="G249" s="52">
        <v>23240024</v>
      </c>
      <c r="H249" s="152" t="s">
        <v>751</v>
      </c>
      <c r="I249" s="178">
        <v>150000</v>
      </c>
      <c r="J249" s="52"/>
      <c r="O249" s="52" t="s">
        <v>886</v>
      </c>
      <c r="P249" s="52"/>
      <c r="Q249" s="52" t="s">
        <v>839</v>
      </c>
      <c r="R249" s="52"/>
      <c r="S249" s="52"/>
      <c r="T249" s="52"/>
      <c r="U249" s="52"/>
      <c r="V249" s="52"/>
    </row>
    <row r="250" spans="1:24" ht="16.5" customHeight="1" thickBot="1">
      <c r="A250" s="52"/>
      <c r="B250" s="52"/>
      <c r="C250" s="93" t="s">
        <v>1324</v>
      </c>
      <c r="D250" s="120">
        <v>1475000</v>
      </c>
      <c r="E250" s="52" t="s">
        <v>1325</v>
      </c>
      <c r="F250" s="52"/>
      <c r="G250" s="98">
        <v>23240027</v>
      </c>
      <c r="H250" s="390" t="s">
        <v>766</v>
      </c>
      <c r="I250" s="415">
        <v>221250</v>
      </c>
      <c r="J250" s="163">
        <f>I250*18%</f>
        <v>39825</v>
      </c>
      <c r="K250" s="98">
        <f>I250*10%</f>
        <v>22125</v>
      </c>
      <c r="L250" s="98"/>
      <c r="M250" s="98"/>
      <c r="N250" s="98">
        <f>I250+J250</f>
        <v>261075</v>
      </c>
      <c r="O250" s="98" t="s">
        <v>1602</v>
      </c>
      <c r="P250" s="98"/>
      <c r="Q250" s="52" t="s">
        <v>839</v>
      </c>
      <c r="R250" s="163">
        <f>N250-K250</f>
        <v>238950</v>
      </c>
      <c r="S250" s="52"/>
      <c r="T250" s="52"/>
      <c r="U250" s="52"/>
      <c r="V250" s="52"/>
    </row>
    <row r="251" spans="1:24" ht="15.75" customHeight="1" thickBot="1">
      <c r="A251" s="52"/>
      <c r="B251" s="52"/>
      <c r="C251" s="80" t="s">
        <v>1592</v>
      </c>
      <c r="D251" s="86">
        <v>1400000</v>
      </c>
      <c r="E251" s="52" t="s">
        <v>1593</v>
      </c>
      <c r="F251" s="52"/>
      <c r="G251" s="52">
        <v>23240028</v>
      </c>
      <c r="H251" s="96" t="s">
        <v>1603</v>
      </c>
      <c r="I251" s="150">
        <v>210000</v>
      </c>
      <c r="J251" s="98"/>
      <c r="K251" s="98"/>
      <c r="L251" s="98"/>
      <c r="M251" s="98"/>
      <c r="N251" s="98"/>
      <c r="O251" s="98" t="s">
        <v>1604</v>
      </c>
      <c r="P251" s="98"/>
      <c r="Q251" s="56" t="s">
        <v>839</v>
      </c>
      <c r="R251" s="163"/>
      <c r="S251" s="52"/>
      <c r="T251" s="52"/>
      <c r="U251" s="52"/>
      <c r="V251" s="52"/>
    </row>
    <row r="252" spans="1:24" ht="15.75" customHeight="1" thickBot="1">
      <c r="A252" s="52"/>
      <c r="B252" s="52"/>
      <c r="C252" s="93" t="s">
        <v>1313</v>
      </c>
      <c r="D252" s="120">
        <v>800000</v>
      </c>
      <c r="E252" s="83" t="s">
        <v>1314</v>
      </c>
      <c r="F252" s="52"/>
      <c r="G252" s="98">
        <v>23240031</v>
      </c>
      <c r="H252" s="194" t="s">
        <v>698</v>
      </c>
      <c r="I252" s="407">
        <v>160000</v>
      </c>
      <c r="J252" s="98"/>
      <c r="K252" s="98"/>
      <c r="L252" s="98"/>
      <c r="M252" s="98"/>
      <c r="N252" s="98"/>
      <c r="O252" s="98" t="s">
        <v>1605</v>
      </c>
      <c r="P252" s="98" t="s">
        <v>891</v>
      </c>
      <c r="Q252" s="98" t="s">
        <v>839</v>
      </c>
      <c r="R252" s="98"/>
      <c r="S252" s="52"/>
      <c r="T252" s="52"/>
      <c r="U252" s="52"/>
      <c r="V252" s="52"/>
      <c r="W252" s="52"/>
      <c r="X252" s="52"/>
    </row>
    <row r="253" spans="1:24" ht="30.75" customHeight="1" thickBot="1">
      <c r="A253" s="38"/>
      <c r="B253" s="38"/>
      <c r="C253" s="85" t="s">
        <v>1293</v>
      </c>
      <c r="D253" s="62">
        <v>1500000</v>
      </c>
      <c r="E253" s="83" t="s">
        <v>1290</v>
      </c>
      <c r="F253" s="38"/>
      <c r="G253" s="52">
        <v>23240032</v>
      </c>
      <c r="H253" s="100" t="s">
        <v>1606</v>
      </c>
      <c r="I253" s="103">
        <f>400000/8</f>
        <v>50000</v>
      </c>
      <c r="J253" s="62">
        <f>I253*18%</f>
        <v>9000</v>
      </c>
      <c r="K253" s="62">
        <f>I253*10%</f>
        <v>5000</v>
      </c>
      <c r="L253" s="65"/>
      <c r="M253" s="65"/>
      <c r="N253" s="62">
        <f>I253+J253</f>
        <v>59000</v>
      </c>
      <c r="O253" s="65"/>
      <c r="P253" s="65" t="s">
        <v>891</v>
      </c>
      <c r="Q253" s="64" t="s">
        <v>839</v>
      </c>
      <c r="R253" s="62">
        <f>N253-K253</f>
        <v>54000</v>
      </c>
      <c r="S253" s="38"/>
      <c r="T253" s="38"/>
      <c r="U253" s="38"/>
      <c r="V253" s="38"/>
      <c r="W253" s="52"/>
      <c r="X253" s="52"/>
    </row>
    <row r="254" spans="1:24" ht="30.75" customHeight="1" thickBot="1">
      <c r="A254" s="38"/>
      <c r="B254" s="38"/>
      <c r="C254" s="97" t="s">
        <v>1289</v>
      </c>
      <c r="D254" s="63">
        <v>1500000</v>
      </c>
      <c r="E254" s="83" t="s">
        <v>1290</v>
      </c>
      <c r="F254" s="38"/>
      <c r="G254" s="376">
        <v>23240033</v>
      </c>
      <c r="H254" s="100" t="s">
        <v>1595</v>
      </c>
      <c r="I254" s="162">
        <f>600000/8</f>
        <v>75000</v>
      </c>
      <c r="J254" s="63">
        <f>I254*18%</f>
        <v>13500</v>
      </c>
      <c r="K254" s="63">
        <f>I254*10%</f>
        <v>7500</v>
      </c>
      <c r="L254" s="64"/>
      <c r="M254" s="64"/>
      <c r="N254" s="63">
        <f>I254+J254</f>
        <v>88500</v>
      </c>
      <c r="O254" s="64" t="s">
        <v>892</v>
      </c>
      <c r="P254" s="64"/>
      <c r="Q254" s="192" t="s">
        <v>839</v>
      </c>
      <c r="R254" s="63">
        <f>N254-K254</f>
        <v>81000</v>
      </c>
      <c r="S254" s="38"/>
      <c r="T254" s="38"/>
      <c r="U254" s="38"/>
      <c r="V254" s="38"/>
    </row>
    <row r="255" spans="1:24" ht="30.75" customHeight="1" thickBot="1">
      <c r="A255" s="38"/>
      <c r="B255" s="38"/>
      <c r="C255" s="85" t="s">
        <v>1289</v>
      </c>
      <c r="D255" s="62">
        <v>1500000</v>
      </c>
      <c r="E255" s="83" t="s">
        <v>1290</v>
      </c>
      <c r="F255" s="38"/>
      <c r="G255" s="92">
        <v>23240033</v>
      </c>
      <c r="H255" s="121" t="s">
        <v>1606</v>
      </c>
      <c r="I255" s="147">
        <f>600000/8</f>
        <v>75000</v>
      </c>
      <c r="J255" s="62">
        <f>I255*18%</f>
        <v>13500</v>
      </c>
      <c r="K255" s="62">
        <f>I255*10%</f>
        <v>7500</v>
      </c>
      <c r="L255" s="65"/>
      <c r="M255" s="65"/>
      <c r="N255" s="62">
        <f>I255+J255</f>
        <v>88500</v>
      </c>
      <c r="O255" s="65" t="s">
        <v>892</v>
      </c>
      <c r="P255" s="65"/>
      <c r="Q255" s="192" t="s">
        <v>839</v>
      </c>
      <c r="R255" s="62">
        <f>N255-K255</f>
        <v>81000</v>
      </c>
      <c r="S255" s="38"/>
      <c r="T255" s="38"/>
      <c r="U255" s="38"/>
      <c r="V255" s="38"/>
    </row>
    <row r="256" spans="1:24" ht="15.75" customHeight="1" thickBot="1">
      <c r="A256" s="52"/>
      <c r="B256" s="52"/>
      <c r="C256" s="80" t="s">
        <v>1338</v>
      </c>
      <c r="D256" s="86">
        <v>1735000</v>
      </c>
      <c r="E256" s="52" t="s">
        <v>1339</v>
      </c>
      <c r="F256" s="52"/>
      <c r="G256" s="52">
        <v>23240034</v>
      </c>
      <c r="H256" s="121" t="s">
        <v>1607</v>
      </c>
      <c r="I256" s="133">
        <v>173500</v>
      </c>
      <c r="J256" s="127"/>
      <c r="O256" s="52" t="s">
        <v>892</v>
      </c>
      <c r="P256" s="52" t="s">
        <v>891</v>
      </c>
      <c r="Q256" s="52" t="s">
        <v>839</v>
      </c>
      <c r="R256" s="52"/>
      <c r="S256" s="52"/>
      <c r="T256" s="52"/>
      <c r="U256" s="52"/>
      <c r="V256" s="52"/>
    </row>
    <row r="257" spans="1:24" ht="16.5" customHeight="1" thickBot="1">
      <c r="A257" s="52"/>
      <c r="B257" s="52"/>
      <c r="C257" s="80" t="s">
        <v>1319</v>
      </c>
      <c r="D257" s="86">
        <v>1250000</v>
      </c>
      <c r="E257" s="52" t="s">
        <v>1320</v>
      </c>
      <c r="F257" s="52"/>
      <c r="G257" s="52">
        <v>23240035</v>
      </c>
      <c r="H257" s="195" t="s">
        <v>763</v>
      </c>
      <c r="I257" s="165">
        <v>187500</v>
      </c>
      <c r="J257" s="62">
        <f>I257*18%</f>
        <v>33750</v>
      </c>
      <c r="K257" s="62">
        <f>I257*10%</f>
        <v>18750</v>
      </c>
      <c r="L257" s="65"/>
      <c r="M257" s="65"/>
      <c r="N257" s="62">
        <f>I257+J257</f>
        <v>221250</v>
      </c>
      <c r="O257" s="65" t="s">
        <v>1608</v>
      </c>
      <c r="P257" s="65" t="s">
        <v>891</v>
      </c>
      <c r="Q257" s="49" t="s">
        <v>839</v>
      </c>
      <c r="R257" s="62">
        <f>N257-K257</f>
        <v>202500</v>
      </c>
      <c r="S257" s="52"/>
      <c r="T257" s="52"/>
      <c r="U257" s="52"/>
      <c r="V257" s="52"/>
    </row>
    <row r="258" spans="1:24" ht="16.5" customHeight="1" thickBot="1">
      <c r="A258" s="52"/>
      <c r="B258" s="52"/>
      <c r="C258" s="93" t="s">
        <v>1409</v>
      </c>
      <c r="D258" s="120">
        <v>2600000</v>
      </c>
      <c r="E258" s="52" t="s">
        <v>1410</v>
      </c>
      <c r="F258" s="52"/>
      <c r="G258" s="98">
        <v>23240037</v>
      </c>
      <c r="H258" s="99" t="s">
        <v>751</v>
      </c>
      <c r="I258" s="95">
        <v>390000</v>
      </c>
      <c r="J258" s="98"/>
      <c r="K258" s="98"/>
      <c r="L258" s="98"/>
      <c r="M258" s="98"/>
      <c r="N258" s="98"/>
      <c r="O258" s="98" t="s">
        <v>905</v>
      </c>
      <c r="P258" s="98" t="s">
        <v>1609</v>
      </c>
      <c r="Q258" s="98" t="s">
        <v>839</v>
      </c>
      <c r="R258" s="98"/>
      <c r="S258" s="52"/>
      <c r="T258" s="52"/>
      <c r="U258" s="52"/>
      <c r="V258" s="52"/>
    </row>
    <row r="259" spans="1:24" ht="16.5" customHeight="1" thickBot="1">
      <c r="A259" s="52"/>
      <c r="B259" s="52"/>
      <c r="C259" s="80" t="s">
        <v>1409</v>
      </c>
      <c r="D259" s="86">
        <v>2600000</v>
      </c>
      <c r="E259" s="52" t="s">
        <v>1410</v>
      </c>
      <c r="F259" s="52"/>
      <c r="G259" s="52">
        <v>23240037</v>
      </c>
      <c r="H259" s="99" t="s">
        <v>1411</v>
      </c>
      <c r="I259" s="404">
        <f>390000/2</f>
        <v>195000</v>
      </c>
      <c r="J259" s="52"/>
      <c r="M259" s="52" t="s">
        <v>1609</v>
      </c>
      <c r="N259" s="52" t="s">
        <v>839</v>
      </c>
      <c r="O259" s="52" t="s">
        <v>905</v>
      </c>
      <c r="P259" s="52"/>
      <c r="Q259" s="98" t="s">
        <v>839</v>
      </c>
      <c r="R259" s="52"/>
      <c r="S259" s="52"/>
      <c r="T259" s="52"/>
      <c r="U259" s="52"/>
      <c r="V259" s="52"/>
    </row>
    <row r="260" spans="1:24" ht="14.65" customHeight="1">
      <c r="A260" s="52"/>
      <c r="B260" s="52"/>
      <c r="C260" s="80" t="s">
        <v>1349</v>
      </c>
      <c r="D260" s="86">
        <v>600000</v>
      </c>
      <c r="E260" s="52" t="s">
        <v>1350</v>
      </c>
      <c r="F260" s="52"/>
      <c r="G260" s="52">
        <v>23240038</v>
      </c>
      <c r="H260" s="93" t="s">
        <v>780</v>
      </c>
      <c r="I260" s="120">
        <v>135000</v>
      </c>
      <c r="J260" s="52"/>
      <c r="O260" s="52" t="s">
        <v>1610</v>
      </c>
      <c r="P260" s="52"/>
      <c r="Q260" s="98" t="s">
        <v>839</v>
      </c>
      <c r="R260" s="52"/>
      <c r="S260" s="52"/>
      <c r="T260" s="52"/>
      <c r="U260" s="52"/>
      <c r="V260" s="52"/>
    </row>
    <row r="261" spans="1:24" ht="14.65" customHeight="1">
      <c r="A261" s="52"/>
      <c r="B261" s="52"/>
      <c r="C261" s="80" t="s">
        <v>1338</v>
      </c>
      <c r="D261" s="86">
        <v>1735000</v>
      </c>
      <c r="E261" s="52" t="s">
        <v>1339</v>
      </c>
      <c r="F261" s="52"/>
      <c r="G261" s="52">
        <v>23240039</v>
      </c>
      <c r="H261" s="94" t="s">
        <v>1611</v>
      </c>
      <c r="I261" s="63">
        <v>173500</v>
      </c>
      <c r="J261" s="126"/>
      <c r="K261" s="127"/>
      <c r="O261" s="52" t="s">
        <v>1612</v>
      </c>
      <c r="P261" s="52" t="s">
        <v>1609</v>
      </c>
      <c r="Q261" s="98" t="s">
        <v>839</v>
      </c>
      <c r="R261" s="52"/>
      <c r="S261" s="52"/>
      <c r="T261" s="52"/>
      <c r="U261" s="52"/>
      <c r="V261" s="52"/>
    </row>
    <row r="262" spans="1:24" ht="15.75" customHeight="1">
      <c r="A262" s="52"/>
      <c r="B262" s="52"/>
      <c r="C262" s="80" t="s">
        <v>1341</v>
      </c>
      <c r="D262" s="86">
        <v>1400000</v>
      </c>
      <c r="E262" s="52" t="s">
        <v>1342</v>
      </c>
      <c r="F262" s="52"/>
      <c r="G262" s="52">
        <v>23240040</v>
      </c>
      <c r="H262" s="109" t="s">
        <v>711</v>
      </c>
      <c r="I262" s="119">
        <v>210000</v>
      </c>
      <c r="J262" s="52"/>
      <c r="O262" s="52" t="s">
        <v>1613</v>
      </c>
      <c r="P262" s="52"/>
      <c r="Q262" s="52" t="s">
        <v>839</v>
      </c>
      <c r="R262" s="52"/>
      <c r="S262" s="52"/>
      <c r="T262" s="52"/>
      <c r="U262" s="52"/>
      <c r="V262" s="52"/>
      <c r="W262" s="52"/>
      <c r="X262" s="52"/>
    </row>
    <row r="263" spans="1:24" ht="15.75" customHeight="1">
      <c r="A263" s="52"/>
      <c r="B263" s="52"/>
      <c r="C263" s="80" t="s">
        <v>1319</v>
      </c>
      <c r="D263" s="86">
        <v>1250000</v>
      </c>
      <c r="E263" s="52" t="s">
        <v>1320</v>
      </c>
      <c r="F263" s="52"/>
      <c r="G263" s="52">
        <v>23240042</v>
      </c>
      <c r="H263" s="188" t="s">
        <v>764</v>
      </c>
      <c r="I263" s="417">
        <v>187500</v>
      </c>
      <c r="J263" s="62">
        <f>I263*18%</f>
        <v>33750</v>
      </c>
      <c r="K263" s="62">
        <f>I263*10%</f>
        <v>18750</v>
      </c>
      <c r="L263" s="65"/>
      <c r="M263" s="65"/>
      <c r="N263" s="62">
        <f>I263+J263</f>
        <v>221250</v>
      </c>
      <c r="O263" s="52" t="s">
        <v>913</v>
      </c>
      <c r="P263" s="65" t="s">
        <v>1609</v>
      </c>
      <c r="Q263" s="64" t="s">
        <v>839</v>
      </c>
      <c r="R263" s="62">
        <f>N263-K263</f>
        <v>202500</v>
      </c>
      <c r="S263" s="52"/>
      <c r="T263" s="52"/>
      <c r="U263" s="52"/>
      <c r="V263" s="52"/>
    </row>
    <row r="264" spans="1:24" ht="30" customHeight="1">
      <c r="A264" s="38"/>
      <c r="B264" s="38"/>
      <c r="C264" s="85" t="s">
        <v>1293</v>
      </c>
      <c r="D264" s="62">
        <v>1500000</v>
      </c>
      <c r="E264" s="83" t="s">
        <v>1290</v>
      </c>
      <c r="F264" s="38"/>
      <c r="G264" s="92">
        <v>23240043</v>
      </c>
      <c r="H264" s="378" t="s">
        <v>1614</v>
      </c>
      <c r="I264" s="62">
        <f>400000/8</f>
        <v>50000</v>
      </c>
      <c r="J264" s="62">
        <f>I264*18%</f>
        <v>9000</v>
      </c>
      <c r="K264" s="62">
        <f>I264*10%</f>
        <v>5000</v>
      </c>
      <c r="L264" s="65"/>
      <c r="M264" s="65"/>
      <c r="N264" s="62">
        <f>I264+J264</f>
        <v>59000</v>
      </c>
      <c r="O264" s="65" t="s">
        <v>913</v>
      </c>
      <c r="P264" s="65" t="s">
        <v>912</v>
      </c>
      <c r="Q264" s="64" t="s">
        <v>839</v>
      </c>
      <c r="R264" s="62">
        <f>N264-K264</f>
        <v>54000</v>
      </c>
      <c r="S264" s="38"/>
      <c r="T264" s="38"/>
      <c r="U264" s="38"/>
      <c r="V264" s="38"/>
      <c r="W264" s="52"/>
      <c r="X264" s="52"/>
    </row>
    <row r="265" spans="1:24" ht="30" customHeight="1">
      <c r="A265" s="38"/>
      <c r="B265" s="38"/>
      <c r="C265" s="85" t="s">
        <v>1289</v>
      </c>
      <c r="D265" s="62">
        <v>1500000</v>
      </c>
      <c r="E265" s="83" t="s">
        <v>1290</v>
      </c>
      <c r="F265" s="38"/>
      <c r="G265" s="92">
        <v>23240044</v>
      </c>
      <c r="H265" s="378" t="s">
        <v>1614</v>
      </c>
      <c r="I265" s="154">
        <f>600000/8</f>
        <v>75000</v>
      </c>
      <c r="J265" s="62">
        <f>I265*18%</f>
        <v>13500</v>
      </c>
      <c r="K265" s="62">
        <f>I265*10%</f>
        <v>7500</v>
      </c>
      <c r="L265" s="65"/>
      <c r="M265" s="65"/>
      <c r="N265" s="62">
        <f>I265+J265</f>
        <v>88500</v>
      </c>
      <c r="O265" s="65" t="s">
        <v>913</v>
      </c>
      <c r="P265" s="65"/>
      <c r="Q265" s="192" t="s">
        <v>839</v>
      </c>
      <c r="R265" s="62">
        <f>N265-K265</f>
        <v>81000</v>
      </c>
      <c r="S265" s="38"/>
      <c r="T265" s="38"/>
      <c r="U265" s="38"/>
      <c r="V265" s="38"/>
    </row>
    <row r="266" spans="1:24" ht="14.65" customHeight="1">
      <c r="A266" s="52"/>
      <c r="B266" s="52"/>
      <c r="C266" s="80" t="s">
        <v>1367</v>
      </c>
      <c r="D266" s="86">
        <v>1500000</v>
      </c>
      <c r="E266" s="52" t="s">
        <v>1368</v>
      </c>
      <c r="F266" s="52"/>
      <c r="G266" s="139">
        <v>23240045</v>
      </c>
      <c r="H266" s="80" t="s">
        <v>1600</v>
      </c>
      <c r="I266" s="86">
        <f>D266*10%</f>
        <v>150000</v>
      </c>
      <c r="J266" s="52"/>
      <c r="O266" s="52" t="s">
        <v>1615</v>
      </c>
      <c r="P266" s="52" t="s">
        <v>912</v>
      </c>
      <c r="Q266" s="52" t="s">
        <v>839</v>
      </c>
      <c r="R266" s="52"/>
      <c r="S266" s="52"/>
      <c r="T266" s="52"/>
      <c r="U266" s="52"/>
      <c r="V266" s="52"/>
    </row>
    <row r="267" spans="1:24" ht="14.65" customHeight="1">
      <c r="A267" s="52"/>
      <c r="B267" s="52"/>
      <c r="C267" s="80" t="s">
        <v>1367</v>
      </c>
      <c r="D267" s="86">
        <v>1500000</v>
      </c>
      <c r="E267" s="52" t="s">
        <v>1368</v>
      </c>
      <c r="F267" s="52"/>
      <c r="G267" s="139">
        <v>23240045</v>
      </c>
      <c r="H267" s="80" t="s">
        <v>1616</v>
      </c>
      <c r="I267" s="86">
        <f>D267*10%</f>
        <v>150000</v>
      </c>
      <c r="J267" s="52"/>
      <c r="O267" s="52" t="s">
        <v>1615</v>
      </c>
      <c r="P267" s="52" t="s">
        <v>912</v>
      </c>
      <c r="Q267" s="98" t="s">
        <v>839</v>
      </c>
      <c r="R267" s="52"/>
      <c r="S267" s="52"/>
      <c r="T267" s="52"/>
      <c r="U267" s="52"/>
      <c r="V267" s="52"/>
    </row>
    <row r="268" spans="1:24" ht="14.65" customHeight="1">
      <c r="A268" s="52"/>
      <c r="B268" s="52"/>
      <c r="C268" s="80" t="s">
        <v>1338</v>
      </c>
      <c r="D268" s="86">
        <v>1735000</v>
      </c>
      <c r="E268" s="52" t="s">
        <v>1339</v>
      </c>
      <c r="F268" s="52"/>
      <c r="G268" s="92">
        <v>23240046</v>
      </c>
      <c r="H268" s="378" t="s">
        <v>1092</v>
      </c>
      <c r="I268" s="86">
        <v>260250</v>
      </c>
      <c r="J268" s="126"/>
      <c r="K268" s="127"/>
      <c r="O268" s="52" t="s">
        <v>1617</v>
      </c>
      <c r="P268" s="52" t="s">
        <v>912</v>
      </c>
      <c r="Q268" s="52" t="s">
        <v>839</v>
      </c>
      <c r="R268" s="52"/>
      <c r="S268" s="52"/>
      <c r="T268" s="52"/>
      <c r="U268" s="52"/>
      <c r="V268" s="52"/>
    </row>
    <row r="269" spans="1:24" ht="15.75" customHeight="1">
      <c r="A269" s="52"/>
      <c r="B269" s="52"/>
      <c r="C269" s="80" t="s">
        <v>1341</v>
      </c>
      <c r="D269" s="86">
        <v>1400000</v>
      </c>
      <c r="E269" s="52" t="s">
        <v>1342</v>
      </c>
      <c r="F269" s="52"/>
      <c r="G269" s="187">
        <v>23240047</v>
      </c>
      <c r="H269" s="101" t="s">
        <v>763</v>
      </c>
      <c r="I269" s="408">
        <v>240000</v>
      </c>
      <c r="J269" s="52"/>
      <c r="O269" s="52" t="s">
        <v>1617</v>
      </c>
      <c r="P269" s="52"/>
      <c r="Q269" s="98" t="s">
        <v>839</v>
      </c>
      <c r="R269" s="52"/>
      <c r="S269" s="52"/>
      <c r="T269" s="52"/>
      <c r="U269" s="52"/>
      <c r="V269" s="52"/>
    </row>
    <row r="270" spans="1:24" ht="14.65" customHeight="1">
      <c r="A270" s="52"/>
      <c r="B270" s="52"/>
      <c r="C270" s="80" t="s">
        <v>1373</v>
      </c>
      <c r="D270" s="86">
        <v>900000</v>
      </c>
      <c r="E270" s="52" t="s">
        <v>1374</v>
      </c>
      <c r="F270" s="52"/>
      <c r="G270" s="139">
        <v>23240048</v>
      </c>
      <c r="H270" s="80" t="s">
        <v>618</v>
      </c>
      <c r="I270" s="86">
        <v>180000</v>
      </c>
      <c r="J270" s="52"/>
      <c r="O270" s="52" t="s">
        <v>1618</v>
      </c>
      <c r="P270" s="52" t="s">
        <v>912</v>
      </c>
      <c r="Q270" s="52" t="s">
        <v>839</v>
      </c>
      <c r="R270" s="52"/>
      <c r="S270" s="52"/>
      <c r="T270" s="52"/>
      <c r="U270" s="52"/>
      <c r="V270" s="52"/>
      <c r="W270" s="52"/>
      <c r="X270" s="52"/>
    </row>
    <row r="271" spans="1:24" ht="14.65" customHeight="1">
      <c r="A271" s="52"/>
      <c r="B271" s="52"/>
      <c r="C271" s="80" t="s">
        <v>1376</v>
      </c>
      <c r="D271" s="86">
        <v>600000</v>
      </c>
      <c r="E271" s="52" t="s">
        <v>1374</v>
      </c>
      <c r="F271" s="52"/>
      <c r="G271" s="139">
        <v>23240048</v>
      </c>
      <c r="H271" s="80" t="s">
        <v>618</v>
      </c>
      <c r="I271" s="86">
        <v>100000</v>
      </c>
      <c r="J271" s="52"/>
      <c r="O271" s="52" t="s">
        <v>1618</v>
      </c>
      <c r="P271" s="52" t="s">
        <v>912</v>
      </c>
      <c r="Q271" s="52" t="s">
        <v>839</v>
      </c>
      <c r="R271" s="52"/>
      <c r="S271" s="52"/>
      <c r="T271" s="52"/>
      <c r="U271" s="52"/>
      <c r="V271" s="52"/>
      <c r="W271" s="52"/>
      <c r="X271" s="52"/>
    </row>
    <row r="272" spans="1:24" ht="14.65" customHeight="1">
      <c r="A272" s="52"/>
      <c r="B272" s="52"/>
      <c r="C272" s="80" t="s">
        <v>1343</v>
      </c>
      <c r="D272" s="86">
        <v>2300000</v>
      </c>
      <c r="E272" s="52" t="s">
        <v>1344</v>
      </c>
      <c r="F272" s="52"/>
      <c r="G272" s="52">
        <v>23240050</v>
      </c>
      <c r="H272" s="80" t="s">
        <v>618</v>
      </c>
      <c r="I272" s="86">
        <v>420000</v>
      </c>
      <c r="J272" s="52"/>
      <c r="O272" s="52" t="s">
        <v>1619</v>
      </c>
      <c r="P272" s="52"/>
      <c r="Q272" s="52" t="s">
        <v>839</v>
      </c>
      <c r="R272" s="52"/>
      <c r="S272" s="52"/>
      <c r="T272" s="52"/>
      <c r="U272" s="52"/>
      <c r="V272" s="52"/>
    </row>
    <row r="273" spans="1:24" ht="15.75" customHeight="1">
      <c r="A273" s="52"/>
      <c r="B273" s="52"/>
      <c r="C273" s="80" t="s">
        <v>1586</v>
      </c>
      <c r="D273" s="86">
        <v>1000000</v>
      </c>
      <c r="E273" s="52" t="s">
        <v>1587</v>
      </c>
      <c r="F273" s="52"/>
      <c r="G273" s="139">
        <v>23240051</v>
      </c>
      <c r="H273" s="101" t="s">
        <v>760</v>
      </c>
      <c r="I273" s="102">
        <v>150000</v>
      </c>
      <c r="J273" s="52"/>
      <c r="O273" s="52" t="s">
        <v>1619</v>
      </c>
      <c r="P273" s="52" t="s">
        <v>912</v>
      </c>
      <c r="Q273" s="52" t="s">
        <v>839</v>
      </c>
      <c r="R273" s="52"/>
      <c r="S273" s="52"/>
      <c r="T273" s="52"/>
      <c r="U273" s="52"/>
      <c r="V273" s="52"/>
      <c r="W273" s="52"/>
      <c r="X273" s="52"/>
    </row>
    <row r="274" spans="1:24" ht="14.65" customHeight="1">
      <c r="A274" s="52"/>
      <c r="B274" s="52"/>
      <c r="C274" s="80" t="s">
        <v>1322</v>
      </c>
      <c r="D274" s="86">
        <v>2800000</v>
      </c>
      <c r="E274" s="52" t="s">
        <v>1321</v>
      </c>
      <c r="F274" s="52"/>
      <c r="G274" s="139">
        <v>23240052</v>
      </c>
      <c r="H274" s="80" t="s">
        <v>653</v>
      </c>
      <c r="I274" s="86">
        <v>420000</v>
      </c>
      <c r="J274" s="52">
        <f>I274*18%</f>
        <v>75600</v>
      </c>
      <c r="K274" s="52">
        <f>I274*10%</f>
        <v>42000</v>
      </c>
      <c r="N274" s="52">
        <f>I274+J274</f>
        <v>495600</v>
      </c>
      <c r="O274" s="52" t="s">
        <v>1619</v>
      </c>
      <c r="P274" s="65" t="s">
        <v>912</v>
      </c>
      <c r="Q274" s="64" t="s">
        <v>839</v>
      </c>
      <c r="R274" s="52">
        <f>N274-K274</f>
        <v>453600</v>
      </c>
      <c r="S274" s="52"/>
      <c r="T274" s="52"/>
      <c r="U274" s="52"/>
      <c r="V274" s="52"/>
      <c r="W274" s="52"/>
      <c r="X274" s="52"/>
    </row>
    <row r="275" spans="1:24" ht="15.75" customHeight="1" thickBot="1">
      <c r="A275" s="52"/>
      <c r="B275" s="52"/>
      <c r="C275" s="80" t="s">
        <v>1362</v>
      </c>
      <c r="D275" s="86">
        <v>3300000</v>
      </c>
      <c r="E275" s="52" t="s">
        <v>1363</v>
      </c>
      <c r="F275" s="52"/>
      <c r="G275" s="52" t="s">
        <v>1071</v>
      </c>
      <c r="H275" s="180" t="s">
        <v>1620</v>
      </c>
      <c r="I275" s="117">
        <v>500000</v>
      </c>
      <c r="J275" s="52"/>
      <c r="O275" s="52" t="s">
        <v>1621</v>
      </c>
      <c r="P275" s="52"/>
      <c r="Q275" s="98" t="s">
        <v>839</v>
      </c>
      <c r="R275" s="52"/>
      <c r="S275" s="52"/>
      <c r="T275" s="52"/>
      <c r="U275" s="52"/>
      <c r="V275" s="52"/>
    </row>
    <row r="276" spans="1:24" ht="15.75" customHeight="1" thickBot="1">
      <c r="A276" s="36" t="s">
        <v>1221</v>
      </c>
      <c r="B276" s="8">
        <v>36</v>
      </c>
      <c r="C276" t="s">
        <v>553</v>
      </c>
      <c r="D276" s="2"/>
      <c r="F276" s="3">
        <v>100215</v>
      </c>
      <c r="G276" s="377"/>
      <c r="H276" s="381" t="s">
        <v>1622</v>
      </c>
      <c r="I276" s="400">
        <f>(12%*10350000)/2</f>
        <v>621000</v>
      </c>
      <c r="J276" s="31">
        <f t="shared" ref="J276:J277" si="44">I276*18%</f>
        <v>111780</v>
      </c>
      <c r="K276" s="31">
        <f t="shared" ref="K276:K277" si="45">I276*10%</f>
        <v>62100</v>
      </c>
      <c r="L276" s="2"/>
      <c r="M276" s="2"/>
      <c r="N276" s="31">
        <f t="shared" ref="N276:N277" si="46">I276+J276</f>
        <v>732780</v>
      </c>
      <c r="O276" s="19" t="s">
        <v>1623</v>
      </c>
      <c r="P276" s="19"/>
      <c r="Q276" s="19" t="s">
        <v>701</v>
      </c>
      <c r="R276" s="31">
        <f t="shared" ref="R276:R277" si="47">N276-K276</f>
        <v>670680</v>
      </c>
      <c r="S276" s="19" t="s">
        <v>1624</v>
      </c>
      <c r="T276" s="19"/>
      <c r="U276" s="19"/>
      <c r="V276" s="19"/>
      <c r="W276" s="38"/>
      <c r="X276" s="38"/>
    </row>
    <row r="277" spans="1:24" ht="30.75" customHeight="1" thickBot="1">
      <c r="A277" s="36" t="s">
        <v>1221</v>
      </c>
      <c r="B277" s="8">
        <v>38</v>
      </c>
      <c r="C277" t="s">
        <v>553</v>
      </c>
      <c r="D277" s="2"/>
      <c r="F277" s="3">
        <v>100215</v>
      </c>
      <c r="G277" s="377"/>
      <c r="H277" s="129" t="s">
        <v>742</v>
      </c>
      <c r="I277" s="410">
        <v>250000</v>
      </c>
      <c r="J277" s="31">
        <f t="shared" si="44"/>
        <v>45000</v>
      </c>
      <c r="K277" s="31">
        <f t="shared" si="45"/>
        <v>25000</v>
      </c>
      <c r="L277" s="2"/>
      <c r="M277" s="2"/>
      <c r="N277" s="31">
        <f t="shared" si="46"/>
        <v>295000</v>
      </c>
      <c r="O277" s="19" t="s">
        <v>1623</v>
      </c>
      <c r="P277" s="19"/>
      <c r="Q277" s="35" t="s">
        <v>701</v>
      </c>
      <c r="R277" s="31">
        <f t="shared" si="47"/>
        <v>270000</v>
      </c>
      <c r="S277" s="19" t="s">
        <v>1624</v>
      </c>
      <c r="T277" s="19"/>
      <c r="U277" s="19"/>
      <c r="V277" s="19"/>
      <c r="W277" s="38"/>
      <c r="X277" s="38"/>
    </row>
    <row r="278" spans="1:24" ht="30" customHeight="1">
      <c r="A278" s="36" t="s">
        <v>1221</v>
      </c>
      <c r="B278" s="8">
        <v>37</v>
      </c>
      <c r="C278" s="80" t="s">
        <v>553</v>
      </c>
      <c r="D278" s="2"/>
      <c r="F278" s="3"/>
      <c r="G278" s="8"/>
      <c r="H278" s="3" t="s">
        <v>755</v>
      </c>
      <c r="I278" s="31">
        <v>62500</v>
      </c>
      <c r="J278" s="31">
        <f t="shared" ref="J278:J279" si="48">I278*18%</f>
        <v>11250</v>
      </c>
      <c r="K278" s="31">
        <f t="shared" ref="K278:K279" si="49">I278*10%</f>
        <v>6250</v>
      </c>
      <c r="L278" s="2"/>
      <c r="M278" s="2"/>
      <c r="N278" s="31">
        <f t="shared" ref="N278:N279" si="50">I278+J278</f>
        <v>73750</v>
      </c>
      <c r="O278" s="19"/>
      <c r="P278" s="19"/>
      <c r="Q278" s="19"/>
      <c r="R278" s="31">
        <f t="shared" ref="R278:R279" si="51">N278-K278</f>
        <v>67500</v>
      </c>
      <c r="S278" s="19"/>
      <c r="T278" s="19"/>
      <c r="U278" s="19"/>
      <c r="V278" s="19"/>
      <c r="W278" s="52"/>
      <c r="X278" s="52"/>
    </row>
    <row r="279" spans="1:24" ht="75" customHeight="1">
      <c r="A279" s="36" t="s">
        <v>1221</v>
      </c>
      <c r="B279" s="8">
        <v>65</v>
      </c>
      <c r="C279" s="85" t="s">
        <v>1243</v>
      </c>
      <c r="D279" s="19">
        <v>500000</v>
      </c>
      <c r="E279" s="3" t="s">
        <v>1244</v>
      </c>
      <c r="F279" s="3"/>
      <c r="G279" s="141"/>
      <c r="H279" s="3" t="s">
        <v>1625</v>
      </c>
      <c r="I279" s="31">
        <v>25000</v>
      </c>
      <c r="J279" s="31">
        <f t="shared" si="48"/>
        <v>4500</v>
      </c>
      <c r="K279" s="31">
        <f t="shared" si="49"/>
        <v>2500</v>
      </c>
      <c r="L279" s="31"/>
      <c r="M279" s="31"/>
      <c r="N279" s="31">
        <f t="shared" si="50"/>
        <v>29500</v>
      </c>
      <c r="O279" s="19"/>
      <c r="P279" s="19"/>
      <c r="Q279" s="19"/>
      <c r="R279" s="31">
        <f t="shared" si="51"/>
        <v>27000</v>
      </c>
      <c r="S279" s="19"/>
      <c r="T279" s="19"/>
      <c r="U279" s="19"/>
      <c r="V279" s="19"/>
      <c r="W279" s="52"/>
      <c r="X279" s="52"/>
    </row>
    <row r="280" spans="1:24" ht="75" customHeight="1">
      <c r="A280" s="52" t="s">
        <v>1259</v>
      </c>
      <c r="B280" s="52">
        <v>163</v>
      </c>
      <c r="C280" s="85" t="s">
        <v>1266</v>
      </c>
      <c r="D280" s="62">
        <v>700000</v>
      </c>
      <c r="E280" s="62" t="s">
        <v>1627</v>
      </c>
      <c r="F280" s="60"/>
      <c r="G280" s="143"/>
      <c r="H280" s="60" t="s">
        <v>1626</v>
      </c>
      <c r="I280" s="154">
        <v>70000</v>
      </c>
      <c r="J280" s="245">
        <f t="shared" ref="J280" si="52">I280*18%</f>
        <v>12600</v>
      </c>
      <c r="K280" s="62">
        <f t="shared" ref="K280" si="53">I280*10%</f>
        <v>7000</v>
      </c>
      <c r="L280" s="65"/>
      <c r="M280" s="65"/>
      <c r="N280" s="62">
        <f t="shared" ref="N280" si="54">I280+J280</f>
        <v>82600</v>
      </c>
      <c r="O280" s="65"/>
      <c r="P280" s="65"/>
      <c r="Q280" s="65"/>
      <c r="R280" s="245"/>
      <c r="S280" s="65"/>
      <c r="T280" s="65"/>
      <c r="U280" s="65"/>
      <c r="V280" s="65"/>
      <c r="W280" s="52"/>
      <c r="X280" s="52"/>
    </row>
    <row r="281" spans="1:24" ht="14.65" customHeight="1">
      <c r="C281" s="172" t="s">
        <v>1388</v>
      </c>
      <c r="D281" s="168">
        <v>1000000</v>
      </c>
      <c r="F281" s="52"/>
      <c r="G281" s="166">
        <v>2526046</v>
      </c>
      <c r="H281" s="132" t="s">
        <v>770</v>
      </c>
      <c r="I281" s="227">
        <v>36920</v>
      </c>
      <c r="J281" s="221">
        <f t="shared" ref="J281:J300" si="55">I281*0.18</f>
        <v>6645.5999999999995</v>
      </c>
      <c r="O281" s="166" t="s">
        <v>1525</v>
      </c>
      <c r="Q281" s="166" t="s">
        <v>1019</v>
      </c>
      <c r="R281" s="240">
        <f t="shared" ref="R281:R300" si="56">I281+J281-(I281*0.1)</f>
        <v>39873.599999999999</v>
      </c>
      <c r="S281" s="241">
        <f>R281</f>
        <v>39873.599999999999</v>
      </c>
      <c r="T281" s="166" t="s">
        <v>1524</v>
      </c>
      <c r="U281" s="166" t="str">
        <f>IF(S281=R281, "clear", "not clear")</f>
        <v>clear</v>
      </c>
    </row>
    <row r="282" spans="1:24" ht="14.65" customHeight="1">
      <c r="C282" s="172" t="s">
        <v>1388</v>
      </c>
      <c r="D282" s="168">
        <v>1000000</v>
      </c>
      <c r="F282" s="52"/>
      <c r="G282" s="166">
        <v>2526047</v>
      </c>
      <c r="H282" s="229" t="s">
        <v>770</v>
      </c>
      <c r="I282" s="227">
        <v>13080</v>
      </c>
      <c r="J282" s="221">
        <f t="shared" si="55"/>
        <v>2354.4</v>
      </c>
      <c r="O282" s="166" t="s">
        <v>1525</v>
      </c>
      <c r="Q282" s="166" t="s">
        <v>1019</v>
      </c>
      <c r="R282" s="240">
        <f t="shared" si="56"/>
        <v>14126.4</v>
      </c>
      <c r="S282" s="241">
        <f>R282</f>
        <v>14126.4</v>
      </c>
      <c r="T282" s="166" t="s">
        <v>1524</v>
      </c>
      <c r="U282" s="166" t="str">
        <f>IF(S282=R282, "clear", "not clear")</f>
        <v>clear</v>
      </c>
    </row>
    <row r="283" spans="1:24" ht="14.65" customHeight="1">
      <c r="C283" s="172" t="s">
        <v>1343</v>
      </c>
      <c r="D283" s="168">
        <v>2300000</v>
      </c>
      <c r="E283" s="497" t="s">
        <v>1344</v>
      </c>
      <c r="F283" s="52"/>
      <c r="G283" s="166">
        <v>2526048</v>
      </c>
      <c r="H283" s="172" t="s">
        <v>399</v>
      </c>
      <c r="I283" s="168">
        <v>400000</v>
      </c>
      <c r="J283" s="221">
        <f t="shared" si="55"/>
        <v>72000</v>
      </c>
      <c r="O283" s="166" t="s">
        <v>1123</v>
      </c>
      <c r="Q283" s="166" t="s">
        <v>1019</v>
      </c>
      <c r="R283" s="240">
        <f t="shared" si="56"/>
        <v>432000</v>
      </c>
      <c r="S283" s="241">
        <f>R283</f>
        <v>432000</v>
      </c>
      <c r="U283" s="166" t="str">
        <f>IF(S283=R283, "clear", "not clear")</f>
        <v>clear</v>
      </c>
    </row>
    <row r="284" spans="1:24" ht="14.65" customHeight="1" thickBot="1">
      <c r="C284" s="172" t="s">
        <v>1066</v>
      </c>
      <c r="E284" s="497" t="s">
        <v>1430</v>
      </c>
      <c r="G284" s="166">
        <v>2526049</v>
      </c>
      <c r="H284" s="361" t="s">
        <v>761</v>
      </c>
      <c r="I284" s="62">
        <v>225000</v>
      </c>
      <c r="J284" s="221">
        <f t="shared" si="55"/>
        <v>40500</v>
      </c>
      <c r="O284" s="166" t="s">
        <v>1629</v>
      </c>
      <c r="Q284" s="166" t="s">
        <v>1019</v>
      </c>
      <c r="R284" s="240">
        <f t="shared" si="56"/>
        <v>243000</v>
      </c>
      <c r="S284" s="241">
        <v>243000</v>
      </c>
      <c r="U284" s="166" t="str">
        <f>IF(S284=R284, "clear", "not clear")</f>
        <v>clear</v>
      </c>
      <c r="V284" s="166">
        <v>0</v>
      </c>
    </row>
    <row r="285" spans="1:24" ht="15.75" customHeight="1" thickBot="1">
      <c r="C285" s="80" t="s">
        <v>1349</v>
      </c>
      <c r="D285" s="168">
        <v>100000</v>
      </c>
      <c r="E285" s="497" t="s">
        <v>1630</v>
      </c>
      <c r="G285" s="166">
        <v>2526050</v>
      </c>
      <c r="H285" s="442" t="s">
        <v>1631</v>
      </c>
      <c r="I285" s="169">
        <v>75000</v>
      </c>
      <c r="J285" s="480">
        <f t="shared" si="55"/>
        <v>13500</v>
      </c>
      <c r="O285" s="166" t="s">
        <v>1123</v>
      </c>
      <c r="Q285" s="166" t="s">
        <v>1019</v>
      </c>
      <c r="R285" s="422">
        <f t="shared" si="56"/>
        <v>81000</v>
      </c>
      <c r="S285" s="241">
        <v>81000</v>
      </c>
      <c r="T285" s="166" t="s">
        <v>1130</v>
      </c>
      <c r="V285" s="166">
        <v>0</v>
      </c>
    </row>
    <row r="286" spans="1:24" ht="30.75" customHeight="1" thickBot="1">
      <c r="C286" s="171" t="s">
        <v>1289</v>
      </c>
      <c r="G286" s="166">
        <v>2526051</v>
      </c>
      <c r="H286" s="100" t="s">
        <v>1632</v>
      </c>
      <c r="I286" s="103">
        <v>75000</v>
      </c>
      <c r="J286" s="166">
        <f t="shared" si="55"/>
        <v>13500</v>
      </c>
      <c r="O286" s="166" t="s">
        <v>1123</v>
      </c>
      <c r="Q286" s="65" t="s">
        <v>1019</v>
      </c>
      <c r="R286" s="241">
        <f t="shared" si="56"/>
        <v>81000</v>
      </c>
      <c r="S286" s="241">
        <f>R286</f>
        <v>81000</v>
      </c>
      <c r="T286" s="166" t="s">
        <v>1633</v>
      </c>
      <c r="U286" s="166" t="str">
        <f t="shared" ref="U286:U300" si="57">IF(S286=R286, "clear", "not clear")</f>
        <v>clear</v>
      </c>
    </row>
    <row r="287" spans="1:24" ht="30.75" customHeight="1" thickBot="1">
      <c r="C287" s="171" t="s">
        <v>1293</v>
      </c>
      <c r="G287" s="166">
        <v>2526052</v>
      </c>
      <c r="H287" s="100" t="s">
        <v>1632</v>
      </c>
      <c r="I287" s="103">
        <v>50000</v>
      </c>
      <c r="J287" s="166">
        <f t="shared" si="55"/>
        <v>9000</v>
      </c>
      <c r="O287" s="166" t="s">
        <v>1123</v>
      </c>
      <c r="Q287" s="65" t="s">
        <v>1019</v>
      </c>
      <c r="R287" s="422">
        <f t="shared" si="56"/>
        <v>54000</v>
      </c>
      <c r="S287" s="241">
        <f>R287</f>
        <v>54000</v>
      </c>
      <c r="T287" s="166" t="s">
        <v>1634</v>
      </c>
      <c r="U287" s="166" t="str">
        <f t="shared" si="57"/>
        <v>clear</v>
      </c>
    </row>
    <row r="288" spans="1:24" ht="15.75" customHeight="1" thickBot="1">
      <c r="C288" s="172" t="s">
        <v>1219</v>
      </c>
      <c r="D288" s="184">
        <v>4300000</v>
      </c>
      <c r="G288" s="166">
        <v>2526053</v>
      </c>
      <c r="H288" s="174" t="s">
        <v>1635</v>
      </c>
      <c r="I288" s="169">
        <f>0.15*D288</f>
        <v>645000</v>
      </c>
      <c r="J288" s="166">
        <f t="shared" si="55"/>
        <v>116100</v>
      </c>
      <c r="O288" s="166" t="s">
        <v>1636</v>
      </c>
      <c r="Q288" s="65" t="s">
        <v>1019</v>
      </c>
      <c r="R288" s="422">
        <f t="shared" si="56"/>
        <v>696600</v>
      </c>
      <c r="U288" s="166" t="str">
        <f t="shared" si="57"/>
        <v>not clear</v>
      </c>
    </row>
    <row r="289" spans="3:24" ht="15.75" customHeight="1" thickBot="1">
      <c r="C289" s="172" t="s">
        <v>1437</v>
      </c>
      <c r="D289" s="168">
        <v>1000000</v>
      </c>
      <c r="E289" s="497" t="s">
        <v>1438</v>
      </c>
      <c r="G289" s="166">
        <v>2526054</v>
      </c>
      <c r="H289" s="174" t="s">
        <v>1637</v>
      </c>
      <c r="I289" s="169">
        <v>400000</v>
      </c>
      <c r="J289" s="221">
        <f t="shared" si="55"/>
        <v>72000</v>
      </c>
      <c r="O289" s="166" t="s">
        <v>1130</v>
      </c>
      <c r="Q289" s="166" t="s">
        <v>1019</v>
      </c>
      <c r="R289" s="240">
        <f t="shared" si="56"/>
        <v>432000</v>
      </c>
      <c r="S289" s="241">
        <v>360000</v>
      </c>
      <c r="T289" s="166" t="s">
        <v>1638</v>
      </c>
      <c r="U289" s="166" t="str">
        <f t="shared" si="57"/>
        <v>not clear</v>
      </c>
    </row>
    <row r="290" spans="3:24" ht="15.75" customHeight="1" thickBot="1">
      <c r="C290" s="172" t="s">
        <v>1432</v>
      </c>
      <c r="E290" s="497" t="s">
        <v>1430</v>
      </c>
      <c r="F290" s="52"/>
      <c r="G290" s="166">
        <v>2526055</v>
      </c>
      <c r="H290" s="431" t="s">
        <v>760</v>
      </c>
      <c r="I290" s="103">
        <v>300000</v>
      </c>
      <c r="J290" s="221">
        <f t="shared" si="55"/>
        <v>54000</v>
      </c>
      <c r="O290" s="166" t="s">
        <v>1487</v>
      </c>
      <c r="Q290" s="166" t="s">
        <v>1019</v>
      </c>
      <c r="R290" s="240">
        <f t="shared" si="56"/>
        <v>324000</v>
      </c>
      <c r="S290" s="241">
        <f>R290</f>
        <v>324000</v>
      </c>
      <c r="T290" s="166" t="s">
        <v>1639</v>
      </c>
      <c r="U290" s="166" t="str">
        <f t="shared" si="57"/>
        <v>clear</v>
      </c>
    </row>
    <row r="291" spans="3:24" ht="15.75" customHeight="1" thickBot="1">
      <c r="C291" s="172" t="s">
        <v>1429</v>
      </c>
      <c r="E291" s="497" t="s">
        <v>1430</v>
      </c>
      <c r="F291" s="52"/>
      <c r="G291" s="166">
        <v>2526055</v>
      </c>
      <c r="H291" s="431" t="s">
        <v>760</v>
      </c>
      <c r="I291" s="103">
        <v>300000</v>
      </c>
      <c r="J291" s="221">
        <f t="shared" si="55"/>
        <v>54000</v>
      </c>
      <c r="O291" s="166" t="s">
        <v>1487</v>
      </c>
      <c r="Q291" s="166" t="s">
        <v>1019</v>
      </c>
      <c r="R291" s="240">
        <f t="shared" si="56"/>
        <v>324000</v>
      </c>
      <c r="S291" s="241">
        <f>R291</f>
        <v>324000</v>
      </c>
      <c r="T291" s="166" t="s">
        <v>1639</v>
      </c>
      <c r="U291" s="166" t="str">
        <f t="shared" si="57"/>
        <v>clear</v>
      </c>
    </row>
    <row r="292" spans="3:24" ht="15.75" customHeight="1" thickBot="1">
      <c r="C292" s="172" t="s">
        <v>1433</v>
      </c>
      <c r="D292" s="168">
        <v>3600000</v>
      </c>
      <c r="E292" s="497" t="s">
        <v>1434</v>
      </c>
      <c r="G292" s="166">
        <v>2526056</v>
      </c>
      <c r="H292" s="431" t="s">
        <v>763</v>
      </c>
      <c r="I292" s="435">
        <v>540000</v>
      </c>
      <c r="J292" s="166">
        <f t="shared" si="55"/>
        <v>97200</v>
      </c>
      <c r="O292" s="166" t="s">
        <v>1640</v>
      </c>
      <c r="Q292" s="166" t="s">
        <v>1019</v>
      </c>
      <c r="R292" s="241">
        <f t="shared" si="56"/>
        <v>583200</v>
      </c>
      <c r="S292" s="241">
        <f>R292</f>
        <v>583200</v>
      </c>
      <c r="T292" s="166" t="s">
        <v>1501</v>
      </c>
      <c r="U292" s="166" t="str">
        <f t="shared" si="57"/>
        <v>clear</v>
      </c>
    </row>
    <row r="293" spans="3:24" ht="15.75" customHeight="1" thickBot="1">
      <c r="C293" s="172" t="s">
        <v>1439</v>
      </c>
      <c r="D293" s="168">
        <v>2000000</v>
      </c>
      <c r="E293" s="497" t="s">
        <v>1440</v>
      </c>
      <c r="G293" s="166">
        <v>2526057</v>
      </c>
      <c r="H293" s="174" t="s">
        <v>653</v>
      </c>
      <c r="I293" s="169">
        <v>200000</v>
      </c>
      <c r="J293" s="166">
        <f t="shared" si="55"/>
        <v>36000</v>
      </c>
      <c r="O293" s="166" t="s">
        <v>1089</v>
      </c>
      <c r="Q293" s="166" t="s">
        <v>1019</v>
      </c>
      <c r="R293" s="241">
        <f t="shared" si="56"/>
        <v>216000</v>
      </c>
      <c r="S293" s="241">
        <f>R293</f>
        <v>216000</v>
      </c>
      <c r="T293" s="166" t="s">
        <v>1641</v>
      </c>
      <c r="U293" s="166" t="str">
        <f t="shared" si="57"/>
        <v>clear</v>
      </c>
      <c r="W293" s="52"/>
      <c r="X293" s="52"/>
    </row>
    <row r="294" spans="3:24" ht="15.75" customHeight="1" thickBot="1">
      <c r="C294" s="172" t="s">
        <v>1520</v>
      </c>
      <c r="D294" s="168">
        <v>800000</v>
      </c>
      <c r="G294" s="166">
        <v>2526058</v>
      </c>
      <c r="H294" s="431" t="s">
        <v>847</v>
      </c>
      <c r="I294" s="169">
        <v>160000</v>
      </c>
      <c r="J294" s="166">
        <f t="shared" si="55"/>
        <v>28800</v>
      </c>
      <c r="O294" s="166" t="s">
        <v>1642</v>
      </c>
      <c r="Q294" s="166" t="s">
        <v>1019</v>
      </c>
      <c r="R294" s="241">
        <f t="shared" si="56"/>
        <v>172800</v>
      </c>
      <c r="S294" s="420">
        <f>R294+50400</f>
        <v>223200</v>
      </c>
      <c r="T294" s="166" t="s">
        <v>1526</v>
      </c>
      <c r="U294" s="166" t="str">
        <f t="shared" si="57"/>
        <v>not clear</v>
      </c>
    </row>
    <row r="295" spans="3:24" ht="15.75" customHeight="1" thickBot="1">
      <c r="C295" s="172" t="s">
        <v>1388</v>
      </c>
      <c r="D295" s="184">
        <v>1000000</v>
      </c>
      <c r="F295" s="52"/>
      <c r="G295" s="166">
        <v>2526059</v>
      </c>
      <c r="H295" s="431" t="s">
        <v>771</v>
      </c>
      <c r="I295" s="435">
        <v>13080</v>
      </c>
      <c r="J295" s="166">
        <f t="shared" si="55"/>
        <v>2354.4</v>
      </c>
      <c r="Q295" s="166" t="s">
        <v>1019</v>
      </c>
      <c r="R295" s="241">
        <f t="shared" si="56"/>
        <v>14126.4</v>
      </c>
      <c r="S295" s="241">
        <f>R295</f>
        <v>14126.4</v>
      </c>
      <c r="T295" s="166" t="s">
        <v>1684</v>
      </c>
      <c r="U295" s="166" t="str">
        <f t="shared" si="57"/>
        <v>clear</v>
      </c>
    </row>
    <row r="296" spans="3:24" ht="15.75" customHeight="1" thickBot="1">
      <c r="C296" s="172" t="s">
        <v>1388</v>
      </c>
      <c r="D296" s="168">
        <v>1000000</v>
      </c>
      <c r="F296" s="52"/>
      <c r="G296" s="166">
        <v>2526060</v>
      </c>
      <c r="H296" s="431" t="s">
        <v>771</v>
      </c>
      <c r="I296" s="435">
        <v>36920</v>
      </c>
      <c r="J296" s="166">
        <f t="shared" si="55"/>
        <v>6645.5999999999995</v>
      </c>
      <c r="Q296" s="166" t="s">
        <v>1019</v>
      </c>
      <c r="R296" s="241">
        <f t="shared" si="56"/>
        <v>39873.599999999999</v>
      </c>
      <c r="S296" s="241">
        <f>R296</f>
        <v>39873.599999999999</v>
      </c>
      <c r="T296" s="166" t="s">
        <v>1684</v>
      </c>
      <c r="U296" s="166" t="str">
        <f t="shared" si="57"/>
        <v>clear</v>
      </c>
    </row>
    <row r="297" spans="3:24" ht="15.75" customHeight="1" thickBot="1">
      <c r="C297" s="172" t="s">
        <v>1373</v>
      </c>
      <c r="D297" s="168">
        <v>900000</v>
      </c>
      <c r="E297" s="497" t="s">
        <v>1374</v>
      </c>
      <c r="G297">
        <v>2526066</v>
      </c>
      <c r="H297" s="174" t="s">
        <v>678</v>
      </c>
      <c r="I297" s="169">
        <v>90000</v>
      </c>
      <c r="J297" s="166">
        <f t="shared" si="55"/>
        <v>16200</v>
      </c>
      <c r="O297" t="s">
        <v>1644</v>
      </c>
      <c r="P297" t="s">
        <v>1145</v>
      </c>
      <c r="Q297" s="52" t="s">
        <v>1019</v>
      </c>
      <c r="R297" s="241">
        <f t="shared" si="56"/>
        <v>97200</v>
      </c>
      <c r="U297" s="166" t="str">
        <f t="shared" si="57"/>
        <v>not clear</v>
      </c>
    </row>
    <row r="298" spans="3:24" ht="15.75" customHeight="1" thickBot="1">
      <c r="C298" s="171" t="s">
        <v>1289</v>
      </c>
      <c r="G298">
        <v>2526068</v>
      </c>
      <c r="H298" s="100" t="s">
        <v>1650</v>
      </c>
      <c r="I298" s="103">
        <v>75000</v>
      </c>
      <c r="J298" s="166">
        <f t="shared" si="55"/>
        <v>13500</v>
      </c>
      <c r="O298" t="s">
        <v>1644</v>
      </c>
      <c r="P298" t="s">
        <v>1145</v>
      </c>
      <c r="Q298" s="65" t="s">
        <v>1019</v>
      </c>
      <c r="R298" s="241">
        <f t="shared" si="56"/>
        <v>81000</v>
      </c>
      <c r="U298" s="166" t="str">
        <f t="shared" si="57"/>
        <v>not clear</v>
      </c>
    </row>
    <row r="299" spans="3:24" ht="15.75" customHeight="1" thickBot="1">
      <c r="C299" s="171" t="s">
        <v>1293</v>
      </c>
      <c r="G299">
        <v>2526069</v>
      </c>
      <c r="H299" s="100" t="s">
        <v>1650</v>
      </c>
      <c r="I299" s="103">
        <v>50000</v>
      </c>
      <c r="J299" s="166">
        <f t="shared" si="55"/>
        <v>9000</v>
      </c>
      <c r="O299" t="s">
        <v>1644</v>
      </c>
      <c r="P299" t="s">
        <v>1145</v>
      </c>
      <c r="Q299" s="65" t="s">
        <v>1019</v>
      </c>
      <c r="R299" s="241">
        <f t="shared" si="56"/>
        <v>54000</v>
      </c>
      <c r="U299" s="166" t="str">
        <f t="shared" si="57"/>
        <v>not clear</v>
      </c>
    </row>
    <row r="300" spans="3:24" ht="15.75" customHeight="1" thickBot="1">
      <c r="C300" s="172" t="s">
        <v>1219</v>
      </c>
      <c r="D300" s="168">
        <v>4300000</v>
      </c>
      <c r="G300" s="166">
        <v>2526070</v>
      </c>
      <c r="H300" s="174" t="s">
        <v>1643</v>
      </c>
      <c r="I300" s="216">
        <f>0.15*D300</f>
        <v>645000</v>
      </c>
      <c r="J300" s="166">
        <f t="shared" si="55"/>
        <v>116100</v>
      </c>
      <c r="O300" t="s">
        <v>1644</v>
      </c>
      <c r="P300" t="s">
        <v>1145</v>
      </c>
      <c r="Q300" s="65" t="s">
        <v>1019</v>
      </c>
      <c r="R300" s="241">
        <f t="shared" si="56"/>
        <v>696600</v>
      </c>
      <c r="S300" s="241">
        <v>745212</v>
      </c>
      <c r="T300" s="166" t="s">
        <v>1641</v>
      </c>
      <c r="U300" s="166" t="str">
        <f t="shared" si="57"/>
        <v>not clear</v>
      </c>
    </row>
    <row r="301" spans="3:24" ht="45.75" customHeight="1" thickBot="1">
      <c r="C301" s="172" t="s">
        <v>1042</v>
      </c>
      <c r="D301" s="168">
        <v>3000000</v>
      </c>
      <c r="E301" s="497" t="s">
        <v>1491</v>
      </c>
      <c r="G301">
        <v>2526072</v>
      </c>
      <c r="H301" s="173" t="s">
        <v>653</v>
      </c>
      <c r="I301" s="402">
        <v>600000</v>
      </c>
      <c r="J301" s="166">
        <f>I301*0.18</f>
        <v>108000</v>
      </c>
      <c r="O301" t="s">
        <v>1647</v>
      </c>
      <c r="P301" t="s">
        <v>1145</v>
      </c>
      <c r="Q301" s="166" t="s">
        <v>1019</v>
      </c>
      <c r="R301" s="241">
        <f>I301+J301-(I301*0.02)</f>
        <v>696000</v>
      </c>
      <c r="U301" s="166" t="str">
        <f>IF(S301=R301, "clear", "not clear")</f>
        <v>not clear</v>
      </c>
    </row>
    <row r="302" spans="3:24" ht="30.75" customHeight="1" thickBot="1">
      <c r="C302" s="172" t="s">
        <v>1362</v>
      </c>
      <c r="D302" s="168">
        <v>3300000</v>
      </c>
      <c r="E302" s="497" t="s">
        <v>1363</v>
      </c>
      <c r="H302" s="511" t="s">
        <v>1645</v>
      </c>
      <c r="I302" s="512">
        <v>200000</v>
      </c>
      <c r="J302" s="166">
        <f>I302*0.18</f>
        <v>36000</v>
      </c>
      <c r="K302" s="232"/>
      <c r="L302" s="232"/>
      <c r="M302" s="233"/>
      <c r="Q302" s="166" t="s">
        <v>1124</v>
      </c>
      <c r="R302" s="241">
        <f>I302+J302-(I302*0.1)</f>
        <v>216000</v>
      </c>
      <c r="U302" s="166" t="str">
        <f>IF(S302=R302, "clear", "not clear")</f>
        <v>not clear</v>
      </c>
    </row>
    <row r="303" spans="3:24" ht="30.75" customHeight="1" thickBot="1">
      <c r="C303" s="172" t="s">
        <v>1338</v>
      </c>
      <c r="D303" s="168">
        <v>1735000</v>
      </c>
      <c r="E303" s="497" t="s">
        <v>1339</v>
      </c>
      <c r="F303" s="52"/>
      <c r="H303" s="100" t="s">
        <v>1646</v>
      </c>
      <c r="I303" s="216">
        <f>173500*0.2</f>
        <v>34700</v>
      </c>
      <c r="J303" s="166">
        <f>I303*0.18</f>
        <v>6246</v>
      </c>
      <c r="K303" s="227"/>
      <c r="Q303" s="166" t="s">
        <v>1124</v>
      </c>
      <c r="R303" s="240">
        <f>I303+J303-(I303*0.1)</f>
        <v>37476</v>
      </c>
      <c r="U303" s="166" t="str">
        <f>IF(S303=R303, "clear", "not clear")</f>
        <v>not clear</v>
      </c>
    </row>
    <row r="304" spans="3:24" ht="15.75" customHeight="1" thickBot="1">
      <c r="C304" s="172" t="s">
        <v>1400</v>
      </c>
      <c r="D304" s="168">
        <v>3500000</v>
      </c>
      <c r="E304" s="497" t="s">
        <v>1368</v>
      </c>
      <c r="H304" s="173" t="s">
        <v>1648</v>
      </c>
      <c r="I304" s="512">
        <f>525000*0.6</f>
        <v>315000</v>
      </c>
      <c r="J304" s="166">
        <f>I304*0.18</f>
        <v>56700</v>
      </c>
      <c r="Q304" s="166" t="s">
        <v>1124</v>
      </c>
      <c r="R304" s="241">
        <f>I304+J304-(I304*0.1)</f>
        <v>340200</v>
      </c>
      <c r="U304" s="166" t="str">
        <f>IF(S304=R304, "clear", "not clear")</f>
        <v>not clear</v>
      </c>
    </row>
    <row r="305" spans="1:22" ht="15.75" customHeight="1" thickBot="1">
      <c r="C305" s="172" t="s">
        <v>1409</v>
      </c>
      <c r="D305" s="168">
        <v>2600000</v>
      </c>
      <c r="E305" s="497" t="s">
        <v>1410</v>
      </c>
      <c r="F305" s="52"/>
      <c r="H305" s="457" t="s">
        <v>1649</v>
      </c>
      <c r="I305" s="133">
        <f>520000*0.25</f>
        <v>130000</v>
      </c>
      <c r="J305" s="166">
        <f>I305*0.18</f>
        <v>23400</v>
      </c>
      <c r="K305" s="52" t="s">
        <v>838</v>
      </c>
      <c r="L305" s="52" t="s">
        <v>973</v>
      </c>
      <c r="Q305" s="166" t="s">
        <v>1124</v>
      </c>
      <c r="R305" s="240">
        <f>I305+J305-(I305*0.1)</f>
        <v>140400</v>
      </c>
      <c r="U305" s="166" t="str">
        <f>IF(S305=R305, "clear", "not clear")</f>
        <v>not clear</v>
      </c>
    </row>
    <row r="306" spans="1:22" ht="15.75" customHeight="1" thickBot="1">
      <c r="A306" s="226"/>
      <c r="B306" s="166">
        <v>97</v>
      </c>
      <c r="C306" s="171" t="s">
        <v>1529</v>
      </c>
      <c r="D306" s="62">
        <v>1400000</v>
      </c>
      <c r="E306" s="499" t="s">
        <v>1528</v>
      </c>
      <c r="F306" s="60"/>
      <c r="G306" s="65"/>
      <c r="H306" s="225" t="s">
        <v>992</v>
      </c>
      <c r="I306" s="133">
        <v>70000</v>
      </c>
      <c r="J306" s="166">
        <f>I306*0.18</f>
        <v>12600</v>
      </c>
      <c r="K306" s="62">
        <f>I306*10%</f>
        <v>7000</v>
      </c>
      <c r="L306" s="65"/>
      <c r="M306" s="65"/>
      <c r="N306" s="62">
        <f>I306+J306</f>
        <v>82600</v>
      </c>
      <c r="O306" s="65"/>
      <c r="P306" s="65"/>
      <c r="Q306" s="166" t="s">
        <v>1124</v>
      </c>
      <c r="R306" s="241">
        <f>I306+J306-(I306*0.1)</f>
        <v>75600</v>
      </c>
      <c r="S306" s="242"/>
      <c r="T306" s="65"/>
      <c r="U306" s="166" t="str">
        <f>IF(S306=R306, "clear", "not clear")</f>
        <v>not clear</v>
      </c>
      <c r="V306" s="65"/>
    </row>
    <row r="307" spans="1:22" ht="15.75" customHeight="1" thickBot="1">
      <c r="A307" s="226"/>
      <c r="B307" s="166">
        <v>96</v>
      </c>
      <c r="C307" s="171" t="s">
        <v>1529</v>
      </c>
      <c r="D307" s="62">
        <v>1400000</v>
      </c>
      <c r="E307" s="499" t="s">
        <v>1528</v>
      </c>
      <c r="F307" s="60"/>
      <c r="G307" s="65"/>
      <c r="H307" s="121" t="s">
        <v>866</v>
      </c>
      <c r="I307" s="133">
        <v>140000</v>
      </c>
      <c r="J307" s="221"/>
      <c r="K307" s="62">
        <f>I307*10%</f>
        <v>14000</v>
      </c>
      <c r="L307" s="65"/>
      <c r="M307" s="65"/>
      <c r="N307" s="62">
        <f>I307+J307</f>
        <v>140000</v>
      </c>
      <c r="O307" s="65"/>
      <c r="Q307" s="166" t="s">
        <v>1124</v>
      </c>
      <c r="R307" s="240"/>
      <c r="S307" s="242"/>
      <c r="T307" s="65"/>
      <c r="U307" s="166" t="str">
        <f>IF(S307=R307, "clear", "not clear")</f>
        <v>clear</v>
      </c>
      <c r="V307" s="65"/>
    </row>
    <row r="308" spans="1:22" ht="15.75" customHeight="1" thickBot="1">
      <c r="C308" s="172" t="s">
        <v>1433</v>
      </c>
      <c r="D308" s="168">
        <v>3600000</v>
      </c>
      <c r="E308" s="497" t="s">
        <v>1434</v>
      </c>
      <c r="H308" s="457" t="s">
        <v>764</v>
      </c>
      <c r="I308" s="473">
        <v>360000</v>
      </c>
      <c r="J308" s="221">
        <f>I308*0.18</f>
        <v>64800</v>
      </c>
      <c r="Q308" s="166" t="s">
        <v>1124</v>
      </c>
      <c r="R308" s="240">
        <f>I308+J308-(I308*0.1)</f>
        <v>388800</v>
      </c>
      <c r="U308" s="166" t="str">
        <f>IF(S308=R308, "clear", "not clear")</f>
        <v>not clear</v>
      </c>
    </row>
    <row r="309" spans="1:22" ht="57" customHeight="1" thickBot="1">
      <c r="C309" s="172" t="s">
        <v>1442</v>
      </c>
      <c r="D309" s="168">
        <v>2100000</v>
      </c>
      <c r="E309" s="498" t="s">
        <v>1443</v>
      </c>
      <c r="G309" s="172"/>
      <c r="H309" s="426" t="s">
        <v>1515</v>
      </c>
      <c r="I309" s="434">
        <f>315000*0.25</f>
        <v>78750</v>
      </c>
      <c r="J309" s="163"/>
      <c r="Q309" s="166" t="s">
        <v>1124</v>
      </c>
      <c r="R309" s="221"/>
      <c r="S309" s="166"/>
    </row>
    <row r="310" spans="1:22" ht="57" customHeight="1" thickBot="1">
      <c r="C310" s="172" t="s">
        <v>1442</v>
      </c>
      <c r="D310" s="168">
        <v>2100000</v>
      </c>
      <c r="E310" s="498" t="s">
        <v>1443</v>
      </c>
      <c r="G310" s="172"/>
      <c r="H310" s="426" t="s">
        <v>1651</v>
      </c>
      <c r="I310" s="434">
        <f>315000/2</f>
        <v>157500</v>
      </c>
      <c r="J310" s="163"/>
      <c r="Q310" s="166" t="s">
        <v>1124</v>
      </c>
      <c r="R310" s="221"/>
      <c r="S310" s="166"/>
    </row>
    <row r="311" spans="1:22" ht="57" customHeight="1" thickBot="1">
      <c r="C311" s="172" t="s">
        <v>1442</v>
      </c>
      <c r="D311" s="168">
        <v>2100000</v>
      </c>
      <c r="E311" s="498" t="s">
        <v>1443</v>
      </c>
      <c r="G311" s="172"/>
      <c r="H311" s="426" t="s">
        <v>1516</v>
      </c>
      <c r="I311" s="434">
        <f>210000/4</f>
        <v>52500</v>
      </c>
      <c r="J311" s="163"/>
      <c r="Q311" s="166" t="s">
        <v>1124</v>
      </c>
      <c r="R311" s="221"/>
      <c r="S311" s="166"/>
    </row>
    <row r="312" spans="1:22" ht="57" customHeight="1" thickBot="1">
      <c r="C312" s="172" t="s">
        <v>1442</v>
      </c>
      <c r="D312" s="168">
        <v>2100000</v>
      </c>
      <c r="E312" s="498" t="s">
        <v>1443</v>
      </c>
      <c r="G312" s="172"/>
      <c r="H312" s="426" t="s">
        <v>1652</v>
      </c>
      <c r="I312" s="434">
        <f>210000/2</f>
        <v>105000</v>
      </c>
      <c r="J312" s="163"/>
      <c r="Q312" s="166" t="s">
        <v>1124</v>
      </c>
      <c r="R312" s="440"/>
      <c r="S312" s="166"/>
    </row>
    <row r="313" spans="1:22" ht="57" customHeight="1" thickBot="1">
      <c r="C313" s="172" t="s">
        <v>1442</v>
      </c>
      <c r="D313" s="168">
        <v>2100000</v>
      </c>
      <c r="E313" s="498" t="s">
        <v>1443</v>
      </c>
      <c r="G313" s="172"/>
      <c r="H313" s="362" t="s">
        <v>1517</v>
      </c>
      <c r="I313" s="469">
        <f>210000/4</f>
        <v>52500</v>
      </c>
      <c r="J313" s="52"/>
      <c r="Q313" s="166" t="s">
        <v>1124</v>
      </c>
      <c r="R313" s="166"/>
      <c r="S313" s="166"/>
    </row>
    <row r="314" spans="1:22" ht="57" customHeight="1" thickBot="1">
      <c r="C314" s="172" t="s">
        <v>1442</v>
      </c>
      <c r="D314" s="168">
        <v>2100000</v>
      </c>
      <c r="E314" s="498" t="s">
        <v>1443</v>
      </c>
      <c r="G314" s="172"/>
      <c r="H314" s="362" t="s">
        <v>1653</v>
      </c>
      <c r="I314" s="469">
        <f>210000/2</f>
        <v>105000</v>
      </c>
      <c r="J314" s="52"/>
      <c r="Q314" s="166" t="s">
        <v>1124</v>
      </c>
      <c r="R314" s="166"/>
      <c r="S314" s="166"/>
    </row>
    <row r="315" spans="1:22" ht="57" customHeight="1" thickBot="1">
      <c r="C315" s="172" t="s">
        <v>1442</v>
      </c>
      <c r="D315" s="168">
        <v>2100000</v>
      </c>
      <c r="E315" s="498" t="s">
        <v>1443</v>
      </c>
      <c r="G315" s="172"/>
      <c r="H315" s="426" t="s">
        <v>1654</v>
      </c>
      <c r="I315" s="434">
        <v>105000</v>
      </c>
      <c r="J315" s="52"/>
      <c r="Q315" s="166" t="s">
        <v>1124</v>
      </c>
      <c r="R315" s="166"/>
      <c r="S315" s="166"/>
    </row>
    <row r="316" spans="1:22" ht="30.75" customHeight="1" thickBot="1">
      <c r="C316" s="171" t="s">
        <v>1302</v>
      </c>
      <c r="D316" s="62">
        <v>1700000</v>
      </c>
      <c r="E316" s="500" t="s">
        <v>1303</v>
      </c>
      <c r="G316" s="167"/>
      <c r="H316" s="225" t="s">
        <v>1655</v>
      </c>
      <c r="I316" s="133">
        <v>85000</v>
      </c>
      <c r="J316" s="62">
        <f>I316*18%</f>
        <v>15300</v>
      </c>
      <c r="K316" s="62">
        <f>I316*10%</f>
        <v>8500</v>
      </c>
      <c r="L316" s="65"/>
      <c r="M316" s="65"/>
      <c r="N316" s="62">
        <f>I316+J316</f>
        <v>100300</v>
      </c>
      <c r="O316" s="65"/>
      <c r="P316" s="65"/>
      <c r="Q316" s="65" t="s">
        <v>1124</v>
      </c>
      <c r="R316" s="62">
        <f>N316-K316</f>
        <v>91800</v>
      </c>
      <c r="S316" s="166"/>
    </row>
    <row r="317" spans="1:22" ht="30.75" customHeight="1" thickBot="1">
      <c r="C317" s="171" t="s">
        <v>1302</v>
      </c>
      <c r="D317" s="62">
        <v>1700000</v>
      </c>
      <c r="E317" s="500" t="s">
        <v>1303</v>
      </c>
      <c r="G317" s="167"/>
      <c r="H317" s="225" t="s">
        <v>1656</v>
      </c>
      <c r="I317" s="133">
        <v>340000</v>
      </c>
      <c r="J317" s="62">
        <f>I317*18%</f>
        <v>61200</v>
      </c>
      <c r="K317" s="62">
        <f>I317*10%</f>
        <v>34000</v>
      </c>
      <c r="L317" s="65"/>
      <c r="M317" s="65"/>
      <c r="N317" s="62">
        <f>I317+J317</f>
        <v>401200</v>
      </c>
      <c r="O317" s="65"/>
      <c r="P317" s="65"/>
      <c r="Q317" s="65" t="s">
        <v>1124</v>
      </c>
      <c r="R317" s="62">
        <f>N317-K317</f>
        <v>367200</v>
      </c>
      <c r="S317" s="166"/>
    </row>
    <row r="318" spans="1:22" ht="30.75" customHeight="1" thickBot="1">
      <c r="C318" s="171" t="s">
        <v>1302</v>
      </c>
      <c r="D318" s="62">
        <v>1700000</v>
      </c>
      <c r="E318" s="500" t="s">
        <v>1303</v>
      </c>
      <c r="G318" s="167"/>
      <c r="H318" s="225" t="s">
        <v>1629</v>
      </c>
      <c r="I318" s="133">
        <v>85000</v>
      </c>
      <c r="J318" s="62">
        <f>I318*18%</f>
        <v>15300</v>
      </c>
      <c r="K318" s="62">
        <f>I318*10%</f>
        <v>8500</v>
      </c>
      <c r="L318" s="65"/>
      <c r="M318" s="65"/>
      <c r="N318" s="62">
        <f>I318+J318</f>
        <v>100300</v>
      </c>
      <c r="O318" s="65"/>
      <c r="P318" s="65"/>
      <c r="Q318" s="65" t="s">
        <v>1124</v>
      </c>
      <c r="R318" s="62">
        <f>N318-K318</f>
        <v>91800</v>
      </c>
      <c r="S318" s="166"/>
    </row>
    <row r="319" spans="1:22" ht="15.75" customHeight="1" thickBot="1">
      <c r="C319" s="172" t="s">
        <v>1322</v>
      </c>
      <c r="D319" s="168">
        <v>2800000</v>
      </c>
      <c r="E319" s="497" t="s">
        <v>1321</v>
      </c>
      <c r="H319" s="173" t="s">
        <v>1657</v>
      </c>
      <c r="I319" s="238">
        <v>280000</v>
      </c>
      <c r="J319" s="52">
        <f>I319*18%</f>
        <v>50400</v>
      </c>
      <c r="K319" s="52">
        <f>I319*10%</f>
        <v>28000</v>
      </c>
      <c r="N319" s="52">
        <f>I319+J319</f>
        <v>330400</v>
      </c>
      <c r="Q319" s="65" t="s">
        <v>1124</v>
      </c>
      <c r="R319" s="166">
        <f>N319-K319</f>
        <v>302400</v>
      </c>
      <c r="S319" s="166"/>
    </row>
    <row r="320" spans="1:22">
      <c r="C320" s="172" t="s">
        <v>1322</v>
      </c>
      <c r="D320" s="168">
        <v>2800000</v>
      </c>
      <c r="E320" s="497" t="s">
        <v>1321</v>
      </c>
      <c r="H320" s="175" t="s">
        <v>1658</v>
      </c>
      <c r="I320" s="440">
        <v>140000</v>
      </c>
      <c r="J320" s="98">
        <f>I320*18%</f>
        <v>25200</v>
      </c>
      <c r="K320" s="52">
        <f>I320*10%</f>
        <v>14000</v>
      </c>
      <c r="N320" s="52">
        <f>I320+J320</f>
        <v>165200</v>
      </c>
      <c r="Q320" s="65" t="s">
        <v>1124</v>
      </c>
      <c r="R320" s="440">
        <f>N320-K320</f>
        <v>151200</v>
      </c>
      <c r="S320" s="166"/>
    </row>
    <row r="321" spans="1:24">
      <c r="C321" s="172" t="s">
        <v>1322</v>
      </c>
      <c r="D321" s="168">
        <v>2800000</v>
      </c>
      <c r="E321" s="497" t="s">
        <v>1321</v>
      </c>
      <c r="H321" s="172" t="s">
        <v>896</v>
      </c>
      <c r="I321" s="166">
        <v>140000</v>
      </c>
      <c r="J321" s="52">
        <f>I321*18%</f>
        <v>25200</v>
      </c>
      <c r="K321" s="52">
        <f>I321*10%</f>
        <v>14000</v>
      </c>
      <c r="N321" s="52">
        <f>I321+J321</f>
        <v>165200</v>
      </c>
      <c r="Q321" s="65" t="s">
        <v>1124</v>
      </c>
      <c r="R321" s="221">
        <f>N321-K321</f>
        <v>151200</v>
      </c>
      <c r="S321" s="166"/>
    </row>
    <row r="322" spans="1:24" ht="14.65" thickBot="1">
      <c r="C322" s="172" t="s">
        <v>1322</v>
      </c>
      <c r="D322" s="168">
        <v>2800000</v>
      </c>
      <c r="E322" s="497" t="s">
        <v>1321</v>
      </c>
      <c r="H322" s="175" t="s">
        <v>907</v>
      </c>
      <c r="I322" s="440">
        <v>140000</v>
      </c>
      <c r="J322" s="52">
        <f>I322*18%</f>
        <v>25200</v>
      </c>
      <c r="K322" s="52">
        <f>I322*10%</f>
        <v>14000</v>
      </c>
      <c r="N322" s="52">
        <f>I322+J322</f>
        <v>165200</v>
      </c>
      <c r="Q322" s="65" t="s">
        <v>1124</v>
      </c>
      <c r="R322" s="221">
        <f>N322-K322</f>
        <v>151200</v>
      </c>
      <c r="S322" s="166"/>
    </row>
    <row r="323" spans="1:24" ht="15.75" customHeight="1" thickBot="1">
      <c r="C323" s="172" t="s">
        <v>1400</v>
      </c>
      <c r="D323" s="168">
        <v>3500000</v>
      </c>
      <c r="E323" s="497" t="s">
        <v>1368</v>
      </c>
      <c r="H323" s="464" t="s">
        <v>1659</v>
      </c>
      <c r="I323" s="478">
        <f>D323*15%*0.6</f>
        <v>315000</v>
      </c>
      <c r="J323" s="166">
        <f>I323*0.18</f>
        <v>56700</v>
      </c>
      <c r="K323" s="166"/>
      <c r="L323" s="166" t="s">
        <v>1124</v>
      </c>
      <c r="Q323" s="166" t="s">
        <v>1124</v>
      </c>
      <c r="R323" s="221"/>
      <c r="S323" s="166"/>
    </row>
    <row r="324" spans="1:24" ht="15.75" customHeight="1" thickBot="1">
      <c r="C324" s="172" t="s">
        <v>1400</v>
      </c>
      <c r="D324" s="168">
        <v>3500000</v>
      </c>
      <c r="E324" s="497" t="s">
        <v>1368</v>
      </c>
      <c r="H324" s="367" t="s">
        <v>1660</v>
      </c>
      <c r="I324" s="472">
        <f>D324*10%</f>
        <v>350000</v>
      </c>
      <c r="J324" s="166">
        <f>I324*0.18</f>
        <v>63000</v>
      </c>
      <c r="Q324" s="166" t="s">
        <v>1124</v>
      </c>
      <c r="R324" s="440"/>
      <c r="S324" s="166"/>
    </row>
    <row r="325" spans="1:24" ht="75.75" customHeight="1" thickBot="1">
      <c r="C325" s="172" t="s">
        <v>1400</v>
      </c>
      <c r="D325" s="168">
        <v>3500000</v>
      </c>
      <c r="E325" s="497" t="s">
        <v>1368</v>
      </c>
      <c r="H325" s="379" t="s">
        <v>1465</v>
      </c>
      <c r="I325" s="472">
        <f>D325*10%</f>
        <v>350000</v>
      </c>
      <c r="J325" s="166">
        <f>I325*0.18</f>
        <v>63000</v>
      </c>
      <c r="Q325" s="166" t="s">
        <v>1124</v>
      </c>
      <c r="R325" s="221"/>
      <c r="S325" s="166"/>
    </row>
    <row r="326" spans="1:24" ht="75.75" customHeight="1" thickBot="1">
      <c r="C326" s="172" t="s">
        <v>1400</v>
      </c>
      <c r="D326" s="168">
        <v>3500000</v>
      </c>
      <c r="E326" s="497" t="s">
        <v>1368</v>
      </c>
      <c r="H326" s="379" t="s">
        <v>1470</v>
      </c>
      <c r="I326" s="472">
        <f>D326*10%</f>
        <v>350000</v>
      </c>
      <c r="J326" s="166">
        <f>I326*0.18</f>
        <v>63000</v>
      </c>
      <c r="Q326" s="166" t="s">
        <v>1124</v>
      </c>
      <c r="R326" s="440"/>
      <c r="S326" s="166"/>
    </row>
    <row r="327" spans="1:24" ht="15.75" customHeight="1" thickBot="1">
      <c r="C327" s="172" t="s">
        <v>1400</v>
      </c>
      <c r="D327" s="168">
        <v>3500000</v>
      </c>
      <c r="E327" s="497" t="s">
        <v>1368</v>
      </c>
      <c r="H327" s="367" t="s">
        <v>1507</v>
      </c>
      <c r="I327" s="472">
        <f>D327*5%</f>
        <v>175000</v>
      </c>
      <c r="J327" s="166">
        <f>I327*0.18</f>
        <v>31500</v>
      </c>
      <c r="Q327" s="166" t="s">
        <v>1124</v>
      </c>
      <c r="R327" s="221"/>
      <c r="S327" s="166"/>
      <c r="W327" s="52"/>
      <c r="X327" s="52"/>
    </row>
    <row r="328" spans="1:24" ht="57" customHeight="1" thickBot="1">
      <c r="C328" s="172" t="s">
        <v>1442</v>
      </c>
      <c r="D328" s="168">
        <v>2100000</v>
      </c>
      <c r="E328" s="498" t="s">
        <v>1443</v>
      </c>
      <c r="F328" s="172"/>
      <c r="H328" s="458" t="s">
        <v>1661</v>
      </c>
      <c r="I328" s="475">
        <f>420000/2</f>
        <v>210000</v>
      </c>
      <c r="J328" s="52"/>
      <c r="K328" s="166"/>
      <c r="L328" s="166"/>
      <c r="M328" s="166"/>
      <c r="N328" s="166"/>
      <c r="Q328" s="166" t="s">
        <v>1124</v>
      </c>
      <c r="R328" s="221"/>
      <c r="S328" s="166"/>
      <c r="W328" s="52"/>
      <c r="X328" s="52"/>
    </row>
    <row r="329" spans="1:24" ht="30.75" customHeight="1" thickBot="1">
      <c r="C329" s="171" t="s">
        <v>1302</v>
      </c>
      <c r="D329" s="62">
        <v>1700000</v>
      </c>
      <c r="E329" s="500" t="s">
        <v>1303</v>
      </c>
      <c r="G329" s="167"/>
      <c r="H329" s="379" t="s">
        <v>1662</v>
      </c>
      <c r="I329" s="235">
        <v>255000</v>
      </c>
      <c r="J329" s="62">
        <f>I329*18%</f>
        <v>45900</v>
      </c>
      <c r="K329" s="62">
        <f>I329*10%</f>
        <v>25500</v>
      </c>
      <c r="L329" s="65"/>
      <c r="M329" s="65"/>
      <c r="N329" s="62">
        <f>I329+J329</f>
        <v>300900</v>
      </c>
      <c r="O329" s="65"/>
      <c r="P329" s="65"/>
      <c r="Q329" s="65" t="s">
        <v>1124</v>
      </c>
      <c r="R329" s="245">
        <f>N329-K329</f>
        <v>275400</v>
      </c>
      <c r="S329" s="166"/>
    </row>
    <row r="330" spans="1:24" ht="30.75" customHeight="1" thickBot="1">
      <c r="C330" s="171" t="s">
        <v>1302</v>
      </c>
      <c r="D330" s="62">
        <v>1700000</v>
      </c>
      <c r="E330" s="500" t="s">
        <v>1303</v>
      </c>
      <c r="G330" s="167"/>
      <c r="H330" s="429" t="s">
        <v>1663</v>
      </c>
      <c r="I330" s="235">
        <v>255000</v>
      </c>
      <c r="J330" s="62">
        <f>I330*18%</f>
        <v>45900</v>
      </c>
      <c r="K330" s="62">
        <f>I330*10%</f>
        <v>25500</v>
      </c>
      <c r="L330" s="65"/>
      <c r="M330" s="65"/>
      <c r="N330" s="62">
        <f>I330+J330</f>
        <v>300900</v>
      </c>
      <c r="O330" s="65"/>
      <c r="P330" s="65"/>
      <c r="Q330" s="65" t="s">
        <v>1124</v>
      </c>
      <c r="R330" s="245">
        <f>N330-K330</f>
        <v>275400</v>
      </c>
      <c r="S330" s="166"/>
    </row>
    <row r="331" spans="1:24" ht="15.75" customHeight="1" thickBot="1">
      <c r="C331" s="172" t="s">
        <v>1322</v>
      </c>
      <c r="D331" s="168">
        <v>2800000</v>
      </c>
      <c r="E331" s="497" t="s">
        <v>1321</v>
      </c>
      <c r="H331" s="367" t="s">
        <v>399</v>
      </c>
      <c r="I331" s="472">
        <v>560000</v>
      </c>
      <c r="J331" s="52">
        <f>I331*18%</f>
        <v>100800</v>
      </c>
      <c r="K331" s="52">
        <f>I331*10%</f>
        <v>56000</v>
      </c>
      <c r="N331" s="52">
        <f>I331+J331</f>
        <v>660800</v>
      </c>
      <c r="Q331" s="65" t="s">
        <v>1124</v>
      </c>
      <c r="R331" s="221">
        <f>N331-K331</f>
        <v>604800</v>
      </c>
      <c r="S331" s="166"/>
      <c r="W331" s="52"/>
      <c r="X331" s="52"/>
    </row>
    <row r="332" spans="1:24" ht="16.5" customHeight="1" thickBot="1">
      <c r="C332" s="172" t="s">
        <v>1324</v>
      </c>
      <c r="D332" s="168">
        <v>1475000</v>
      </c>
      <c r="E332" s="497" t="s">
        <v>1325</v>
      </c>
      <c r="H332" s="452" t="s">
        <v>767</v>
      </c>
      <c r="I332" s="166">
        <v>147500</v>
      </c>
      <c r="J332" s="177">
        <f>I332*18%</f>
        <v>26550</v>
      </c>
      <c r="K332" s="177">
        <f>I332*10%</f>
        <v>14750</v>
      </c>
      <c r="L332" s="177"/>
      <c r="M332" s="177"/>
      <c r="N332" s="52">
        <f>I332+J332</f>
        <v>174050</v>
      </c>
      <c r="Q332" s="65" t="s">
        <v>1124</v>
      </c>
      <c r="R332" s="440">
        <f>N332-K332</f>
        <v>159300</v>
      </c>
      <c r="S332" s="166"/>
    </row>
    <row r="333" spans="1:24" ht="16.5" customHeight="1" thickBot="1">
      <c r="C333" s="172" t="s">
        <v>1324</v>
      </c>
      <c r="D333" s="168">
        <v>1475000</v>
      </c>
      <c r="E333" s="497" t="s">
        <v>1325</v>
      </c>
      <c r="G333" s="440"/>
      <c r="H333" s="452" t="s">
        <v>770</v>
      </c>
      <c r="I333" s="166">
        <v>73750</v>
      </c>
      <c r="J333" s="52">
        <f>I333*18%</f>
        <v>13275</v>
      </c>
      <c r="K333" s="177">
        <f>I333*10%</f>
        <v>7375</v>
      </c>
      <c r="L333" s="177"/>
      <c r="M333" s="177"/>
      <c r="N333" s="52">
        <f>I333+J333</f>
        <v>87025</v>
      </c>
      <c r="Q333" s="65" t="s">
        <v>1124</v>
      </c>
      <c r="R333" s="221">
        <f>N333-K333</f>
        <v>79650</v>
      </c>
      <c r="S333" s="166"/>
    </row>
    <row r="334" spans="1:24" ht="16.5" customHeight="1" thickBot="1">
      <c r="A334" s="52"/>
      <c r="B334" s="52"/>
      <c r="C334" s="80" t="s">
        <v>1429</v>
      </c>
      <c r="D334" s="86"/>
      <c r="E334" s="52" t="s">
        <v>1430</v>
      </c>
      <c r="F334" s="52"/>
      <c r="G334" s="52"/>
      <c r="H334" s="363" t="s">
        <v>866</v>
      </c>
      <c r="I334" s="222">
        <v>150000</v>
      </c>
      <c r="J334" s="439">
        <f>I334*0.18</f>
        <v>27000</v>
      </c>
      <c r="K334" s="177"/>
      <c r="L334" s="177"/>
      <c r="M334" s="177"/>
      <c r="O334" s="52"/>
      <c r="P334" s="52"/>
      <c r="Q334" s="52" t="s">
        <v>1164</v>
      </c>
      <c r="R334" s="52"/>
      <c r="S334" s="52"/>
      <c r="T334" s="52"/>
      <c r="U334" s="52"/>
      <c r="V334" s="52"/>
      <c r="W334" s="52"/>
      <c r="X334" s="52"/>
    </row>
    <row r="335" spans="1:24" ht="16.5" customHeight="1" thickBot="1">
      <c r="A335" s="52"/>
      <c r="B335" s="52"/>
      <c r="C335" s="80" t="s">
        <v>1429</v>
      </c>
      <c r="D335" s="86"/>
      <c r="E335" s="52" t="s">
        <v>1430</v>
      </c>
      <c r="F335" s="52"/>
      <c r="G335" s="52"/>
      <c r="H335" s="425" t="s">
        <v>992</v>
      </c>
      <c r="I335" s="222">
        <v>75000</v>
      </c>
      <c r="J335" s="166">
        <f>I335*0.18</f>
        <v>13500</v>
      </c>
      <c r="O335" s="52"/>
      <c r="P335" s="52"/>
      <c r="Q335" s="52" t="s">
        <v>1164</v>
      </c>
      <c r="R335" s="52"/>
      <c r="S335" s="52"/>
      <c r="T335" s="52"/>
      <c r="U335" s="52"/>
      <c r="V335" s="52"/>
      <c r="W335" s="52"/>
      <c r="X335" s="52"/>
    </row>
    <row r="336" spans="1:24" ht="15.75" customHeight="1">
      <c r="A336" s="52"/>
      <c r="B336" s="52"/>
      <c r="C336" s="80" t="s">
        <v>1429</v>
      </c>
      <c r="D336" s="86"/>
      <c r="E336" s="52" t="s">
        <v>1430</v>
      </c>
      <c r="F336" s="52"/>
      <c r="G336" s="52"/>
      <c r="H336" s="101" t="s">
        <v>1078</v>
      </c>
      <c r="I336" s="222">
        <v>75000</v>
      </c>
      <c r="J336" s="166">
        <f>I336*0.18</f>
        <v>13500</v>
      </c>
      <c r="O336" s="52"/>
      <c r="P336" s="52"/>
      <c r="Q336" s="52" t="s">
        <v>1164</v>
      </c>
      <c r="R336" s="52"/>
      <c r="S336" s="52"/>
      <c r="T336" s="52"/>
      <c r="U336" s="52"/>
      <c r="V336" s="52"/>
    </row>
    <row r="337" spans="1:24">
      <c r="C337" s="172" t="s">
        <v>1324</v>
      </c>
      <c r="D337" s="168">
        <v>1475000</v>
      </c>
      <c r="E337" s="497" t="s">
        <v>1325</v>
      </c>
      <c r="H337" s="172" t="s">
        <v>907</v>
      </c>
      <c r="I337" s="166">
        <v>73750</v>
      </c>
      <c r="J337" s="52">
        <f>I337*18%</f>
        <v>13275</v>
      </c>
      <c r="K337" s="52">
        <f>I337*10%</f>
        <v>7375</v>
      </c>
      <c r="N337" s="52">
        <f>I337+J337</f>
        <v>87025</v>
      </c>
      <c r="Q337" s="65" t="s">
        <v>1124</v>
      </c>
      <c r="R337" s="166">
        <f>N337-K337</f>
        <v>79650</v>
      </c>
      <c r="S337" s="166"/>
    </row>
    <row r="338" spans="1:24">
      <c r="C338" s="172" t="s">
        <v>1343</v>
      </c>
      <c r="D338" s="168">
        <v>2300000</v>
      </c>
      <c r="E338" s="497" t="s">
        <v>1344</v>
      </c>
      <c r="G338" s="446"/>
      <c r="H338" s="175" t="s">
        <v>598</v>
      </c>
      <c r="I338" s="206">
        <v>190000</v>
      </c>
      <c r="J338" s="221">
        <f>I338*0.18</f>
        <v>34200</v>
      </c>
      <c r="Q338" s="166" t="s">
        <v>1124</v>
      </c>
      <c r="R338" s="221"/>
      <c r="S338" s="166"/>
      <c r="W338" s="52"/>
      <c r="X338" s="52"/>
    </row>
    <row r="339" spans="1:24" ht="15.75" customHeight="1">
      <c r="A339" s="52"/>
      <c r="B339" s="52"/>
      <c r="C339" s="80" t="s">
        <v>1432</v>
      </c>
      <c r="D339" s="86"/>
      <c r="E339" s="52" t="s">
        <v>1430</v>
      </c>
      <c r="F339" s="52"/>
      <c r="G339" s="52"/>
      <c r="H339" s="109" t="s">
        <v>866</v>
      </c>
      <c r="I339" s="215">
        <v>150000</v>
      </c>
      <c r="J339" s="221">
        <f>I339*0.18</f>
        <v>27000</v>
      </c>
      <c r="O339" s="52"/>
      <c r="P339" s="52"/>
      <c r="Q339" s="52" t="s">
        <v>1164</v>
      </c>
      <c r="R339" s="163"/>
      <c r="S339" s="52"/>
      <c r="T339" s="52"/>
      <c r="U339" s="52"/>
      <c r="V339" s="52"/>
      <c r="W339" s="52"/>
      <c r="X339" s="52"/>
    </row>
    <row r="340" spans="1:24" ht="15.75" customHeight="1">
      <c r="A340" s="52"/>
      <c r="B340" s="52"/>
      <c r="C340" s="80" t="s">
        <v>1432</v>
      </c>
      <c r="D340" s="86"/>
      <c r="E340" s="52" t="s">
        <v>1430</v>
      </c>
      <c r="F340" s="52"/>
      <c r="G340" s="52"/>
      <c r="H340" s="430" t="s">
        <v>992</v>
      </c>
      <c r="I340" s="215">
        <v>75000</v>
      </c>
      <c r="J340" s="440">
        <f>I340*0.18</f>
        <v>13500</v>
      </c>
      <c r="O340" s="52"/>
      <c r="P340" s="52"/>
      <c r="Q340" s="52" t="s">
        <v>1164</v>
      </c>
      <c r="R340" s="52"/>
      <c r="S340" s="52"/>
      <c r="T340" s="52"/>
      <c r="U340" s="52"/>
      <c r="V340" s="52"/>
    </row>
    <row r="341" spans="1:24" ht="15.75" customHeight="1">
      <c r="A341" s="52"/>
      <c r="B341" s="52"/>
      <c r="C341" s="80" t="s">
        <v>1432</v>
      </c>
      <c r="D341" s="86"/>
      <c r="E341" s="52" t="s">
        <v>1430</v>
      </c>
      <c r="F341" s="52"/>
      <c r="G341" s="52"/>
      <c r="H341" s="109" t="s">
        <v>1078</v>
      </c>
      <c r="I341" s="215">
        <v>75000</v>
      </c>
      <c r="J341" s="221">
        <f>I341*0.18</f>
        <v>13500</v>
      </c>
      <c r="O341" s="52"/>
      <c r="P341" s="52"/>
      <c r="Q341" s="52" t="s">
        <v>1164</v>
      </c>
      <c r="R341" s="163"/>
      <c r="S341" s="52"/>
      <c r="T341" s="52"/>
      <c r="U341" s="52"/>
      <c r="V341" s="52"/>
    </row>
    <row r="342" spans="1:24">
      <c r="C342" s="172" t="s">
        <v>1343</v>
      </c>
      <c r="D342" s="168">
        <v>2300000</v>
      </c>
      <c r="E342" s="497" t="s">
        <v>1344</v>
      </c>
      <c r="H342" s="175" t="s">
        <v>896</v>
      </c>
      <c r="I342" s="206">
        <v>130000</v>
      </c>
      <c r="J342" s="221">
        <f>I342*0.18</f>
        <v>23400</v>
      </c>
      <c r="Q342" s="166" t="s">
        <v>1124</v>
      </c>
      <c r="R342" s="221"/>
      <c r="S342" s="166"/>
      <c r="W342" s="52"/>
      <c r="X342" s="52"/>
    </row>
    <row r="343" spans="1:24">
      <c r="A343" s="52"/>
      <c r="B343" s="52"/>
      <c r="C343" s="80" t="s">
        <v>1343</v>
      </c>
      <c r="D343" s="86">
        <v>2300000</v>
      </c>
      <c r="E343" s="501" t="s">
        <v>1344</v>
      </c>
      <c r="F343" s="52"/>
      <c r="G343" s="52"/>
      <c r="H343" s="93" t="s">
        <v>907</v>
      </c>
      <c r="I343" s="120">
        <v>130000</v>
      </c>
      <c r="J343" s="221">
        <f t="shared" ref="J343:J374" si="58">I343*0.18</f>
        <v>23400</v>
      </c>
      <c r="O343" s="52"/>
      <c r="P343" s="52"/>
      <c r="Q343" s="52" t="s">
        <v>1124</v>
      </c>
      <c r="R343" s="98"/>
      <c r="S343" s="52"/>
      <c r="T343" s="52"/>
      <c r="U343" s="52"/>
      <c r="V343" s="52"/>
      <c r="W343" s="52"/>
      <c r="X343" s="52"/>
    </row>
    <row r="344" spans="1:24">
      <c r="A344" s="52"/>
      <c r="B344" s="52"/>
      <c r="C344" s="80" t="s">
        <v>1354</v>
      </c>
      <c r="D344" s="86">
        <v>5500000</v>
      </c>
      <c r="E344" s="501" t="s">
        <v>1355</v>
      </c>
      <c r="F344" s="52"/>
      <c r="G344" s="52"/>
      <c r="H344" s="453" t="s">
        <v>766</v>
      </c>
      <c r="I344" s="470">
        <v>550000</v>
      </c>
      <c r="J344" s="221">
        <f t="shared" si="58"/>
        <v>99000</v>
      </c>
      <c r="O344" s="52"/>
      <c r="P344" s="52"/>
      <c r="Q344" s="52" t="s">
        <v>1124</v>
      </c>
      <c r="R344" s="163"/>
      <c r="S344" s="52"/>
      <c r="T344" s="52"/>
      <c r="U344" s="52"/>
      <c r="V344" s="52"/>
      <c r="W344" s="52"/>
      <c r="X344" s="52"/>
    </row>
    <row r="345" spans="1:24">
      <c r="A345" s="52"/>
      <c r="B345" s="52"/>
      <c r="C345" s="80" t="s">
        <v>1354</v>
      </c>
      <c r="D345" s="86">
        <v>5500000</v>
      </c>
      <c r="E345" s="501" t="s">
        <v>1355</v>
      </c>
      <c r="F345" s="52"/>
      <c r="G345" s="52"/>
      <c r="H345" s="453" t="s">
        <v>767</v>
      </c>
      <c r="I345" s="470">
        <v>550000</v>
      </c>
      <c r="J345" s="221">
        <f t="shared" si="58"/>
        <v>99000</v>
      </c>
      <c r="O345" s="52"/>
      <c r="P345" s="52"/>
      <c r="Q345" s="52" t="s">
        <v>1124</v>
      </c>
      <c r="R345" s="163"/>
      <c r="S345" s="52"/>
      <c r="T345" s="52"/>
      <c r="U345" s="52"/>
      <c r="V345" s="52"/>
      <c r="W345" s="52"/>
      <c r="X345" s="52"/>
    </row>
    <row r="346" spans="1:24">
      <c r="A346" s="52"/>
      <c r="B346" s="52"/>
      <c r="C346" s="80" t="s">
        <v>1354</v>
      </c>
      <c r="D346" s="86">
        <v>5500000</v>
      </c>
      <c r="E346" s="501" t="s">
        <v>1355</v>
      </c>
      <c r="F346" s="52"/>
      <c r="G346" s="52"/>
      <c r="H346" s="453" t="s">
        <v>771</v>
      </c>
      <c r="I346" s="470">
        <v>275000</v>
      </c>
      <c r="J346" s="221">
        <f t="shared" si="58"/>
        <v>49500</v>
      </c>
      <c r="O346" s="52"/>
      <c r="P346" s="52"/>
      <c r="Q346" s="52" t="s">
        <v>1124</v>
      </c>
      <c r="R346" s="163"/>
      <c r="S346" s="52"/>
      <c r="T346" s="52"/>
      <c r="U346" s="52"/>
      <c r="V346" s="52"/>
    </row>
    <row r="347" spans="1:24" ht="15.75" customHeight="1">
      <c r="A347" s="52"/>
      <c r="B347" s="52"/>
      <c r="C347" s="80" t="s">
        <v>1066</v>
      </c>
      <c r="D347" s="86"/>
      <c r="E347" s="52" t="s">
        <v>1430</v>
      </c>
      <c r="F347" s="52"/>
      <c r="G347" s="52"/>
      <c r="H347" s="101" t="s">
        <v>866</v>
      </c>
      <c r="I347" s="222">
        <v>150000</v>
      </c>
      <c r="J347" s="221">
        <f t="shared" si="58"/>
        <v>27000</v>
      </c>
      <c r="O347" s="52"/>
      <c r="P347" s="52"/>
      <c r="Q347" s="52" t="s">
        <v>1164</v>
      </c>
      <c r="R347" s="52"/>
      <c r="S347" s="52"/>
      <c r="T347" s="52"/>
      <c r="U347" s="52"/>
      <c r="V347" s="52"/>
    </row>
    <row r="348" spans="1:24">
      <c r="A348" s="52"/>
      <c r="B348" s="52"/>
      <c r="C348" s="80" t="s">
        <v>1354</v>
      </c>
      <c r="D348" s="86">
        <v>5500000</v>
      </c>
      <c r="E348" s="501" t="s">
        <v>1355</v>
      </c>
      <c r="F348" s="52"/>
      <c r="G348" s="52"/>
      <c r="H348" s="450" t="s">
        <v>1664</v>
      </c>
      <c r="I348" s="470">
        <v>275000</v>
      </c>
      <c r="J348" s="221">
        <f t="shared" si="58"/>
        <v>49500</v>
      </c>
      <c r="O348" s="52"/>
      <c r="P348" s="52"/>
      <c r="Q348" s="52" t="s">
        <v>1124</v>
      </c>
      <c r="R348" s="98"/>
      <c r="S348" s="52"/>
      <c r="T348" s="52"/>
      <c r="U348" s="52"/>
      <c r="V348" s="52"/>
    </row>
    <row r="349" spans="1:24">
      <c r="C349" s="172" t="s">
        <v>1066</v>
      </c>
      <c r="E349" s="497" t="s">
        <v>1430</v>
      </c>
      <c r="H349" s="361" t="s">
        <v>830</v>
      </c>
      <c r="I349" s="62">
        <v>150000</v>
      </c>
      <c r="J349" s="221">
        <f t="shared" si="58"/>
        <v>27000</v>
      </c>
      <c r="Q349" s="166" t="s">
        <v>1124</v>
      </c>
      <c r="R349" s="240">
        <f>I349+J349-(I349*0.1)</f>
        <v>162000</v>
      </c>
      <c r="U349" s="166" t="str">
        <f>IF(S349=R349, "clear", "not clear")</f>
        <v>not clear</v>
      </c>
    </row>
    <row r="350" spans="1:24">
      <c r="A350" s="52"/>
      <c r="B350" s="52"/>
      <c r="C350" s="80" t="s">
        <v>1362</v>
      </c>
      <c r="D350" s="86">
        <v>3300000</v>
      </c>
      <c r="E350" s="501" t="s">
        <v>1363</v>
      </c>
      <c r="F350" s="52"/>
      <c r="G350" s="52"/>
      <c r="H350" s="462" t="s">
        <v>1665</v>
      </c>
      <c r="I350" s="168">
        <v>300000</v>
      </c>
      <c r="J350" s="221">
        <f t="shared" si="58"/>
        <v>54000</v>
      </c>
      <c r="O350" s="52"/>
      <c r="P350" s="52"/>
      <c r="Q350" s="52" t="s">
        <v>1124</v>
      </c>
      <c r="R350" s="163"/>
      <c r="S350" s="52"/>
      <c r="T350" s="52"/>
      <c r="U350" s="52"/>
      <c r="V350" s="52"/>
    </row>
    <row r="351" spans="1:24" ht="45" customHeight="1">
      <c r="B351" s="166">
        <v>89</v>
      </c>
      <c r="C351" s="171" t="s">
        <v>1527</v>
      </c>
      <c r="D351" s="62">
        <v>1600000</v>
      </c>
      <c r="E351" s="499" t="s">
        <v>1528</v>
      </c>
      <c r="F351" s="65"/>
      <c r="G351" s="65"/>
      <c r="H351" s="171" t="s">
        <v>992</v>
      </c>
      <c r="I351" s="62">
        <v>80000</v>
      </c>
      <c r="J351" s="221">
        <f t="shared" si="58"/>
        <v>14400</v>
      </c>
      <c r="K351" s="62">
        <f>I351*10%</f>
        <v>8000</v>
      </c>
      <c r="L351" s="65"/>
      <c r="M351" s="65"/>
      <c r="N351" s="62">
        <f>I351+J351</f>
        <v>94400</v>
      </c>
      <c r="O351" s="65"/>
      <c r="P351" s="65"/>
      <c r="Q351" s="52" t="s">
        <v>1124</v>
      </c>
      <c r="R351" s="240">
        <f>I351+J351-(I351*0.1)</f>
        <v>86400</v>
      </c>
      <c r="S351" s="242"/>
      <c r="T351" s="65"/>
      <c r="U351" s="166" t="str">
        <f>IF(S351=R351, "clear", "not clear")</f>
        <v>not clear</v>
      </c>
      <c r="V351" s="65"/>
    </row>
    <row r="352" spans="1:24" ht="45.75" customHeight="1" thickBot="1">
      <c r="B352" s="166">
        <v>90</v>
      </c>
      <c r="C352" s="171" t="s">
        <v>1527</v>
      </c>
      <c r="D352" s="62">
        <v>1600000</v>
      </c>
      <c r="E352" s="499" t="s">
        <v>1528</v>
      </c>
      <c r="F352" s="65"/>
      <c r="G352" s="65"/>
      <c r="H352" s="225" t="s">
        <v>1148</v>
      </c>
      <c r="I352" s="133">
        <v>80000</v>
      </c>
      <c r="J352" s="221">
        <f t="shared" si="58"/>
        <v>14400</v>
      </c>
      <c r="K352" s="62">
        <f>I352*10%</f>
        <v>8000</v>
      </c>
      <c r="L352" s="65"/>
      <c r="M352" s="65"/>
      <c r="N352" s="62">
        <f>I352+J352</f>
        <v>94400</v>
      </c>
      <c r="O352" s="65"/>
      <c r="P352" s="65"/>
      <c r="Q352" s="52" t="s">
        <v>1124</v>
      </c>
      <c r="R352" s="240">
        <f>I352+J352-(I352*0.1)</f>
        <v>86400</v>
      </c>
      <c r="S352" s="242"/>
      <c r="T352" s="65"/>
      <c r="U352" s="166" t="str">
        <f>IF(S352=R352, "clear", "not clear")</f>
        <v>not clear</v>
      </c>
      <c r="V352" s="65"/>
    </row>
    <row r="353" spans="1:24" ht="15.75" customHeight="1" thickBot="1">
      <c r="B353" s="182"/>
      <c r="C353" s="183" t="s">
        <v>1343</v>
      </c>
      <c r="D353" s="184">
        <v>2300000</v>
      </c>
      <c r="E353" s="502" t="s">
        <v>1344</v>
      </c>
      <c r="F353" s="186"/>
      <c r="G353" s="186"/>
      <c r="H353" s="427" t="s">
        <v>678</v>
      </c>
      <c r="I353" s="216">
        <v>230000</v>
      </c>
      <c r="J353" s="221">
        <f t="shared" si="58"/>
        <v>41400</v>
      </c>
      <c r="K353" s="56"/>
      <c r="L353" s="56"/>
      <c r="M353" s="56"/>
      <c r="N353" s="56"/>
      <c r="O353" s="185"/>
      <c r="P353" s="185"/>
      <c r="Q353" s="166" t="s">
        <v>1124</v>
      </c>
      <c r="R353" s="440"/>
      <c r="S353" s="166"/>
      <c r="W353" s="52"/>
      <c r="X353" s="52"/>
    </row>
    <row r="354" spans="1:24" ht="45.75" customHeight="1" thickBot="1">
      <c r="B354" s="182">
        <v>98</v>
      </c>
      <c r="C354" s="370" t="s">
        <v>1529</v>
      </c>
      <c r="D354" s="44">
        <v>1400000</v>
      </c>
      <c r="E354" s="503" t="s">
        <v>1528</v>
      </c>
      <c r="F354" s="441"/>
      <c r="G354" s="441"/>
      <c r="H354" s="455" t="s">
        <v>1148</v>
      </c>
      <c r="I354" s="133">
        <v>70000</v>
      </c>
      <c r="J354" s="221">
        <f t="shared" si="58"/>
        <v>12600</v>
      </c>
      <c r="K354" s="44">
        <f>I354*10%</f>
        <v>7000</v>
      </c>
      <c r="L354" s="49"/>
      <c r="M354" s="49"/>
      <c r="N354" s="44">
        <f>I354+J354</f>
        <v>82600</v>
      </c>
      <c r="O354" s="49"/>
      <c r="P354" s="49"/>
      <c r="Q354" s="52" t="s">
        <v>1124</v>
      </c>
      <c r="R354" s="422">
        <f>I354+J354-(I354*0.1)</f>
        <v>75600</v>
      </c>
      <c r="S354" s="242"/>
      <c r="T354" s="65"/>
      <c r="U354" s="166" t="str">
        <f>IF(S354=R354, "clear", "not clear")</f>
        <v>not clear</v>
      </c>
      <c r="V354" s="65"/>
    </row>
    <row r="355" spans="1:24" ht="15.75" customHeight="1" thickBot="1">
      <c r="B355" s="182"/>
      <c r="C355" s="183" t="s">
        <v>1354</v>
      </c>
      <c r="D355" s="184">
        <v>5500000</v>
      </c>
      <c r="E355" s="502" t="s">
        <v>1355</v>
      </c>
      <c r="F355" s="186"/>
      <c r="G355" s="186"/>
      <c r="H355" s="456" t="s">
        <v>1666</v>
      </c>
      <c r="I355" s="474">
        <f>825000*0.6</f>
        <v>495000</v>
      </c>
      <c r="J355" s="221">
        <f t="shared" si="58"/>
        <v>89100</v>
      </c>
      <c r="K355" s="56"/>
      <c r="L355" s="56"/>
      <c r="Q355" s="166" t="s">
        <v>1124</v>
      </c>
      <c r="R355" s="166"/>
      <c r="S355" s="166"/>
    </row>
    <row r="356" spans="1:24" ht="45.75" customHeight="1" thickBot="1">
      <c r="B356" s="182">
        <v>88</v>
      </c>
      <c r="C356" s="370" t="s">
        <v>1527</v>
      </c>
      <c r="D356" s="44">
        <v>1600000</v>
      </c>
      <c r="E356" s="503" t="s">
        <v>1528</v>
      </c>
      <c r="F356" s="441"/>
      <c r="G356" s="65"/>
      <c r="H356" s="455" t="s">
        <v>866</v>
      </c>
      <c r="I356" s="133">
        <v>160000</v>
      </c>
      <c r="J356" s="221">
        <f t="shared" si="58"/>
        <v>28800</v>
      </c>
      <c r="K356" s="44">
        <f t="shared" ref="K356:K362" si="59">I356*10%</f>
        <v>16000</v>
      </c>
      <c r="L356" s="49"/>
      <c r="M356" s="65"/>
      <c r="N356" s="62">
        <f t="shared" ref="N356:N362" si="60">I356+J356</f>
        <v>188800</v>
      </c>
      <c r="O356" s="65"/>
      <c r="P356" s="65"/>
      <c r="Q356" s="56" t="s">
        <v>1124</v>
      </c>
      <c r="R356" s="241">
        <f t="shared" ref="R356:R361" si="61">I356+J356-(I356*0.1)</f>
        <v>172800</v>
      </c>
      <c r="S356" s="242"/>
      <c r="T356" s="65"/>
      <c r="U356" s="166" t="str">
        <f t="shared" ref="U356:U361" si="62">IF(S356=R356, "clear", "not clear")</f>
        <v>not clear</v>
      </c>
      <c r="V356" s="65"/>
      <c r="W356" s="52"/>
      <c r="X356" s="52"/>
    </row>
    <row r="357" spans="1:24" ht="45.75" customHeight="1" thickBot="1">
      <c r="B357" s="182">
        <v>87</v>
      </c>
      <c r="C357" s="370" t="s">
        <v>1527</v>
      </c>
      <c r="D357" s="44">
        <v>1600000</v>
      </c>
      <c r="E357" s="503" t="s">
        <v>1528</v>
      </c>
      <c r="F357" s="441"/>
      <c r="G357" s="167"/>
      <c r="H357" s="455" t="s">
        <v>830</v>
      </c>
      <c r="I357" s="133">
        <v>160000</v>
      </c>
      <c r="J357" s="221">
        <f t="shared" si="58"/>
        <v>28800</v>
      </c>
      <c r="K357" s="62">
        <f t="shared" si="59"/>
        <v>16000</v>
      </c>
      <c r="L357" s="49"/>
      <c r="M357" s="65"/>
      <c r="N357" s="62">
        <f t="shared" si="60"/>
        <v>188800</v>
      </c>
      <c r="O357" s="65"/>
      <c r="P357" s="65"/>
      <c r="Q357" s="52" t="s">
        <v>1124</v>
      </c>
      <c r="R357" s="240">
        <f t="shared" si="61"/>
        <v>172800</v>
      </c>
      <c r="S357" s="242"/>
      <c r="T357" s="65"/>
      <c r="U357" s="166" t="str">
        <f t="shared" si="62"/>
        <v>not clear</v>
      </c>
      <c r="V357" s="65"/>
      <c r="W357" s="52"/>
      <c r="X357" s="52"/>
    </row>
    <row r="358" spans="1:24" ht="30" customHeight="1">
      <c r="C358" s="370" t="s">
        <v>1289</v>
      </c>
      <c r="D358" s="62">
        <v>1500000</v>
      </c>
      <c r="E358" s="500" t="s">
        <v>1290</v>
      </c>
      <c r="G358" s="447"/>
      <c r="H358" s="171" t="s">
        <v>1667</v>
      </c>
      <c r="I358" s="62">
        <v>250000</v>
      </c>
      <c r="J358" s="221">
        <f t="shared" si="58"/>
        <v>45000</v>
      </c>
      <c r="K358" s="62">
        <f t="shared" si="59"/>
        <v>25000</v>
      </c>
      <c r="L358" s="65"/>
      <c r="M358" s="65"/>
      <c r="N358" s="62">
        <f t="shared" si="60"/>
        <v>295000</v>
      </c>
      <c r="O358" s="65"/>
      <c r="P358" s="65"/>
      <c r="Q358" s="56" t="s">
        <v>1124</v>
      </c>
      <c r="R358" s="240">
        <f t="shared" si="61"/>
        <v>270000</v>
      </c>
      <c r="U358" s="166" t="str">
        <f t="shared" si="62"/>
        <v>not clear</v>
      </c>
      <c r="W358" s="52"/>
      <c r="X358" s="52"/>
    </row>
    <row r="359" spans="1:24" ht="30" customHeight="1">
      <c r="C359" s="370" t="s">
        <v>1289</v>
      </c>
      <c r="D359" s="62">
        <v>1500000</v>
      </c>
      <c r="E359" s="500" t="s">
        <v>1290</v>
      </c>
      <c r="G359" s="167"/>
      <c r="H359" s="171" t="s">
        <v>1668</v>
      </c>
      <c r="I359" s="62">
        <v>350000</v>
      </c>
      <c r="J359" s="221">
        <f t="shared" si="58"/>
        <v>63000</v>
      </c>
      <c r="K359" s="62">
        <f t="shared" si="59"/>
        <v>35000</v>
      </c>
      <c r="L359" s="49"/>
      <c r="M359" s="65"/>
      <c r="N359" s="62">
        <f t="shared" si="60"/>
        <v>413000</v>
      </c>
      <c r="O359" s="65"/>
      <c r="P359" s="65"/>
      <c r="Q359" s="52" t="s">
        <v>1124</v>
      </c>
      <c r="R359" s="240">
        <f t="shared" si="61"/>
        <v>378000</v>
      </c>
      <c r="U359" s="166" t="str">
        <f t="shared" si="62"/>
        <v>not clear</v>
      </c>
    </row>
    <row r="360" spans="1:24">
      <c r="C360" s="183" t="s">
        <v>1319</v>
      </c>
      <c r="D360" s="168">
        <v>1250000</v>
      </c>
      <c r="E360" s="497" t="s">
        <v>1320</v>
      </c>
      <c r="H360" s="371" t="s">
        <v>771</v>
      </c>
      <c r="I360" s="62">
        <v>62500</v>
      </c>
      <c r="J360" s="221">
        <f t="shared" si="58"/>
        <v>11250</v>
      </c>
      <c r="K360" s="62">
        <f t="shared" si="59"/>
        <v>6250</v>
      </c>
      <c r="L360" s="65"/>
      <c r="M360" s="65"/>
      <c r="N360" s="62">
        <f t="shared" si="60"/>
        <v>73750</v>
      </c>
      <c r="O360" s="65"/>
      <c r="P360" s="65"/>
      <c r="Q360" s="52" t="s">
        <v>1124</v>
      </c>
      <c r="R360" s="240">
        <f t="shared" si="61"/>
        <v>67500</v>
      </c>
      <c r="U360" s="166" t="str">
        <f t="shared" si="62"/>
        <v>not clear</v>
      </c>
      <c r="W360" s="52"/>
      <c r="X360" s="52"/>
    </row>
    <row r="361" spans="1:24">
      <c r="C361" s="183" t="s">
        <v>1319</v>
      </c>
      <c r="D361" s="168">
        <v>1250000</v>
      </c>
      <c r="E361" s="497" t="s">
        <v>1320</v>
      </c>
      <c r="H361" s="371" t="s">
        <v>770</v>
      </c>
      <c r="I361" s="62">
        <v>62500</v>
      </c>
      <c r="J361" s="221">
        <f t="shared" si="58"/>
        <v>11250</v>
      </c>
      <c r="K361" s="62">
        <f t="shared" si="59"/>
        <v>6250</v>
      </c>
      <c r="L361" s="65"/>
      <c r="M361" s="65"/>
      <c r="N361" s="62">
        <f t="shared" si="60"/>
        <v>73750</v>
      </c>
      <c r="O361" s="65"/>
      <c r="P361" s="65"/>
      <c r="Q361" s="52" t="s">
        <v>1124</v>
      </c>
      <c r="R361" s="240">
        <f t="shared" si="61"/>
        <v>67500</v>
      </c>
      <c r="U361" s="166" t="str">
        <f t="shared" si="62"/>
        <v>not clear</v>
      </c>
    </row>
    <row r="362" spans="1:24" ht="30" customHeight="1">
      <c r="A362" s="38"/>
      <c r="B362" s="38"/>
      <c r="C362" s="58" t="s">
        <v>1302</v>
      </c>
      <c r="D362" s="62">
        <v>1700000</v>
      </c>
      <c r="E362" s="504" t="s">
        <v>1303</v>
      </c>
      <c r="F362" s="38"/>
      <c r="G362" s="92"/>
      <c r="H362" s="378" t="s">
        <v>1669</v>
      </c>
      <c r="I362" s="62">
        <v>255000</v>
      </c>
      <c r="J362" s="221">
        <f t="shared" si="58"/>
        <v>45900</v>
      </c>
      <c r="K362" s="62">
        <f t="shared" si="59"/>
        <v>25500</v>
      </c>
      <c r="L362" s="65"/>
      <c r="M362" s="65"/>
      <c r="N362" s="62">
        <f t="shared" si="60"/>
        <v>300900</v>
      </c>
      <c r="O362" s="65"/>
      <c r="P362" s="65" t="s">
        <v>912</v>
      </c>
      <c r="Q362" s="65" t="s">
        <v>1124</v>
      </c>
      <c r="R362" s="63">
        <f>N362-K362</f>
        <v>275400</v>
      </c>
      <c r="S362" s="38"/>
      <c r="T362" s="38"/>
      <c r="U362" s="38"/>
      <c r="V362" s="38"/>
    </row>
    <row r="363" spans="1:24" ht="16.5" customHeight="1" thickBot="1">
      <c r="C363" s="172" t="s">
        <v>1432</v>
      </c>
      <c r="E363" s="497" t="s">
        <v>1430</v>
      </c>
      <c r="H363" s="176" t="s">
        <v>830</v>
      </c>
      <c r="I363" s="479">
        <v>150000</v>
      </c>
      <c r="J363" s="166">
        <f t="shared" si="58"/>
        <v>27000</v>
      </c>
      <c r="Q363" s="166" t="s">
        <v>1124</v>
      </c>
      <c r="R363" s="166"/>
      <c r="S363" s="166"/>
    </row>
    <row r="364" spans="1:24" ht="15.75" customHeight="1" thickBot="1">
      <c r="C364" s="172" t="s">
        <v>1409</v>
      </c>
      <c r="D364" s="168">
        <v>2600000</v>
      </c>
      <c r="E364" s="505" t="s">
        <v>1410</v>
      </c>
      <c r="H364" s="231" t="s">
        <v>866</v>
      </c>
      <c r="I364" s="63">
        <v>260000</v>
      </c>
      <c r="J364" s="166">
        <f t="shared" si="58"/>
        <v>46800</v>
      </c>
      <c r="Q364" s="52" t="s">
        <v>1124</v>
      </c>
      <c r="R364" s="241">
        <f>I364+J364-(I364*0.1)</f>
        <v>280800</v>
      </c>
      <c r="U364" s="166" t="str">
        <f>IF(S364=R364, "clear", "not clear")</f>
        <v>not clear</v>
      </c>
    </row>
    <row r="365" spans="1:24" ht="15.75" customHeight="1" thickBot="1">
      <c r="B365" s="440"/>
      <c r="C365" s="175" t="s">
        <v>1409</v>
      </c>
      <c r="D365" s="206">
        <v>2600000</v>
      </c>
      <c r="E365" s="505" t="s">
        <v>1410</v>
      </c>
      <c r="F365" s="440"/>
      <c r="G365" s="440"/>
      <c r="H365" s="231" t="s">
        <v>992</v>
      </c>
      <c r="I365" s="63">
        <v>130000</v>
      </c>
      <c r="J365" s="221">
        <f t="shared" si="58"/>
        <v>23400</v>
      </c>
      <c r="K365" s="98"/>
      <c r="L365" s="98"/>
      <c r="M365" s="98"/>
      <c r="N365" s="98"/>
      <c r="O365" s="440"/>
      <c r="P365" s="440"/>
      <c r="Q365" s="52" t="s">
        <v>1124</v>
      </c>
      <c r="R365" s="240">
        <f>I365+J365-(I365*0.1)</f>
        <v>140400</v>
      </c>
      <c r="U365" s="166" t="str">
        <f>IF(S365=R365, "clear", "not clear")</f>
        <v>not clear</v>
      </c>
    </row>
    <row r="366" spans="1:24" ht="16.5" customHeight="1" thickBot="1">
      <c r="C366" s="172" t="s">
        <v>1429</v>
      </c>
      <c r="E366" s="505" t="s">
        <v>1430</v>
      </c>
      <c r="H366" s="428" t="s">
        <v>830</v>
      </c>
      <c r="I366" s="215">
        <v>150000</v>
      </c>
      <c r="J366" s="221">
        <f t="shared" si="58"/>
        <v>27000</v>
      </c>
      <c r="Q366" s="166" t="s">
        <v>1124</v>
      </c>
      <c r="R366" s="221"/>
      <c r="S366" s="166"/>
    </row>
    <row r="367" spans="1:24" ht="15.75" customHeight="1" thickBot="1">
      <c r="C367" s="172" t="s">
        <v>1409</v>
      </c>
      <c r="D367" s="168">
        <v>2600000</v>
      </c>
      <c r="E367" s="207" t="s">
        <v>1410</v>
      </c>
      <c r="F367" s="52"/>
      <c r="H367" s="132" t="s">
        <v>1105</v>
      </c>
      <c r="I367" s="63">
        <f>390000*0.25</f>
        <v>97500</v>
      </c>
      <c r="J367" s="221">
        <f t="shared" si="58"/>
        <v>17550</v>
      </c>
      <c r="R367" s="240">
        <f>I367+J367-(I367*0.1)</f>
        <v>105300</v>
      </c>
      <c r="U367" s="166" t="str">
        <f>IF(S367=R367, "clear", "not clear")</f>
        <v>not clear</v>
      </c>
    </row>
    <row r="368" spans="1:24" ht="15.75" customHeight="1" thickBot="1">
      <c r="C368" s="172" t="s">
        <v>1409</v>
      </c>
      <c r="D368" s="168">
        <v>2600000</v>
      </c>
      <c r="E368" s="505" t="s">
        <v>1410</v>
      </c>
      <c r="H368" s="231" t="s">
        <v>1078</v>
      </c>
      <c r="I368" s="63">
        <v>130000</v>
      </c>
      <c r="J368" s="221">
        <f t="shared" si="58"/>
        <v>23400</v>
      </c>
      <c r="Q368" s="52" t="s">
        <v>1124</v>
      </c>
      <c r="R368" s="240">
        <f>I368+J368-(I368*0.1)</f>
        <v>140400</v>
      </c>
      <c r="U368" s="166" t="str">
        <f>IF(S368=R368, "clear", "not clear")</f>
        <v>not clear</v>
      </c>
    </row>
    <row r="369" spans="1:24" ht="15.75" customHeight="1" thickBot="1">
      <c r="C369" s="172" t="s">
        <v>1373</v>
      </c>
      <c r="D369" s="168">
        <v>900000</v>
      </c>
      <c r="E369" s="505" t="s">
        <v>1374</v>
      </c>
      <c r="H369" s="175" t="s">
        <v>598</v>
      </c>
      <c r="I369" s="206">
        <v>90000</v>
      </c>
      <c r="J369" s="221">
        <f t="shared" si="58"/>
        <v>16200</v>
      </c>
      <c r="Q369" s="52" t="s">
        <v>1124</v>
      </c>
      <c r="R369" s="241">
        <f>I369+J369-(I369*0.1)</f>
        <v>97200</v>
      </c>
      <c r="U369" s="166" t="str">
        <f>IF(S369=R369, "clear", "not clear")</f>
        <v>not clear</v>
      </c>
    </row>
    <row r="370" spans="1:24" ht="15.75" customHeight="1" thickBot="1">
      <c r="C370" s="172" t="s">
        <v>1373</v>
      </c>
      <c r="D370" s="168">
        <v>900000</v>
      </c>
      <c r="E370" s="505" t="s">
        <v>1374</v>
      </c>
      <c r="H370" s="175" t="s">
        <v>896</v>
      </c>
      <c r="I370" s="206">
        <v>67500</v>
      </c>
      <c r="J370" s="221">
        <f t="shared" si="58"/>
        <v>12150</v>
      </c>
      <c r="Q370" s="52" t="s">
        <v>1124</v>
      </c>
      <c r="R370" s="422">
        <f>I370+J370-(I370*0.1)</f>
        <v>72900</v>
      </c>
      <c r="U370" s="166" t="str">
        <f>IF(S370=R370, "clear", "not clear")</f>
        <v>not clear</v>
      </c>
      <c r="W370" s="52"/>
      <c r="X370" s="52"/>
    </row>
    <row r="371" spans="1:24">
      <c r="C371" s="172" t="s">
        <v>1373</v>
      </c>
      <c r="D371" s="168">
        <v>900000</v>
      </c>
      <c r="E371" s="496" t="s">
        <v>1374</v>
      </c>
      <c r="H371" s="175" t="s">
        <v>907</v>
      </c>
      <c r="I371" s="206">
        <v>67500</v>
      </c>
      <c r="J371" s="221">
        <f t="shared" si="58"/>
        <v>12150</v>
      </c>
      <c r="Q371" s="52" t="s">
        <v>1124</v>
      </c>
      <c r="R371" s="240">
        <f>I371+J371-(I371*0.1)</f>
        <v>72900</v>
      </c>
      <c r="U371" s="166" t="str">
        <f>IF(S371=R371, "clear", "not clear")</f>
        <v>not clear</v>
      </c>
      <c r="W371" s="52"/>
      <c r="X371" s="52"/>
    </row>
    <row r="372" spans="1:24" ht="15.75" customHeight="1">
      <c r="C372" s="172" t="s">
        <v>1433</v>
      </c>
      <c r="D372" s="168">
        <v>3600000</v>
      </c>
      <c r="E372" s="166" t="s">
        <v>1434</v>
      </c>
      <c r="H372" s="101" t="s">
        <v>766</v>
      </c>
      <c r="I372" s="433">
        <v>360000</v>
      </c>
      <c r="J372" s="221">
        <f t="shared" si="58"/>
        <v>64800</v>
      </c>
      <c r="Q372" s="166" t="s">
        <v>1164</v>
      </c>
      <c r="R372" s="221"/>
      <c r="S372" s="166"/>
    </row>
    <row r="373" spans="1:24" ht="15.75" customHeight="1">
      <c r="C373" s="172" t="s">
        <v>1433</v>
      </c>
      <c r="D373" s="168">
        <v>3600000</v>
      </c>
      <c r="E373" s="166" t="s">
        <v>1434</v>
      </c>
      <c r="H373" s="101" t="s">
        <v>767</v>
      </c>
      <c r="I373" s="433">
        <v>540000</v>
      </c>
      <c r="J373" s="221">
        <f t="shared" si="58"/>
        <v>97200</v>
      </c>
      <c r="Q373" s="166" t="s">
        <v>1164</v>
      </c>
      <c r="R373" s="221"/>
      <c r="S373" s="166"/>
    </row>
    <row r="374" spans="1:24" ht="15.75" customHeight="1">
      <c r="C374" s="172" t="s">
        <v>1433</v>
      </c>
      <c r="D374" s="168">
        <v>3600000</v>
      </c>
      <c r="E374" s="166" t="s">
        <v>1434</v>
      </c>
      <c r="H374" s="101" t="s">
        <v>770</v>
      </c>
      <c r="I374" s="433">
        <v>540000</v>
      </c>
      <c r="J374" s="221">
        <f t="shared" si="58"/>
        <v>97200</v>
      </c>
      <c r="Q374" s="166" t="s">
        <v>1164</v>
      </c>
      <c r="R374" s="221"/>
      <c r="S374" s="166"/>
    </row>
    <row r="375" spans="1:24" ht="15.75" customHeight="1">
      <c r="C375" s="172" t="s">
        <v>1433</v>
      </c>
      <c r="D375" s="168">
        <v>3600000</v>
      </c>
      <c r="E375" s="166" t="s">
        <v>1434</v>
      </c>
      <c r="H375" s="101" t="s">
        <v>771</v>
      </c>
      <c r="I375" s="433">
        <v>180000</v>
      </c>
      <c r="J375" s="221">
        <f t="shared" ref="J375:J398" si="63">I375*0.18</f>
        <v>32400</v>
      </c>
      <c r="Q375" s="166" t="s">
        <v>1164</v>
      </c>
      <c r="R375" s="221"/>
      <c r="S375" s="166"/>
    </row>
    <row r="376" spans="1:24">
      <c r="C376" s="172" t="s">
        <v>1432</v>
      </c>
      <c r="E376" s="497" t="s">
        <v>1430</v>
      </c>
      <c r="H376" s="361" t="s">
        <v>761</v>
      </c>
      <c r="I376" s="227">
        <v>52320</v>
      </c>
      <c r="J376" s="221">
        <f t="shared" si="63"/>
        <v>9417.6</v>
      </c>
      <c r="Q376" s="166" t="s">
        <v>1124</v>
      </c>
      <c r="R376" s="240">
        <f>I376+J376-(I376*0.1)</f>
        <v>56505.599999999999</v>
      </c>
      <c r="U376" s="166" t="str">
        <f>IF(S376=R376, "clear", "not clear")</f>
        <v>not clear</v>
      </c>
    </row>
    <row r="377" spans="1:24" ht="14.65" thickBot="1">
      <c r="C377" s="172" t="s">
        <v>1354</v>
      </c>
      <c r="D377" s="168">
        <v>5500000</v>
      </c>
      <c r="E377" s="497" t="s">
        <v>1355</v>
      </c>
      <c r="H377" s="171" t="s">
        <v>1670</v>
      </c>
      <c r="I377" s="62">
        <f>825000*0.4</f>
        <v>330000</v>
      </c>
      <c r="J377" s="221">
        <f t="shared" si="63"/>
        <v>59400</v>
      </c>
      <c r="K377" s="166"/>
      <c r="L377" s="166"/>
      <c r="M377" s="166"/>
      <c r="N377" s="166"/>
      <c r="Q377" s="52" t="s">
        <v>1124</v>
      </c>
      <c r="R377" s="240">
        <f>I377+J377-(I377*0.1)</f>
        <v>356400</v>
      </c>
      <c r="S377" s="241" t="s">
        <v>1019</v>
      </c>
      <c r="U377" s="166" t="str">
        <f>IF(S377=R377, "clear", "not clear")</f>
        <v>not clear</v>
      </c>
    </row>
    <row r="378" spans="1:24" ht="15.75" customHeight="1" thickBot="1">
      <c r="C378" s="172" t="s">
        <v>1362</v>
      </c>
      <c r="D378" s="168">
        <v>3300000</v>
      </c>
      <c r="E378" s="497" t="s">
        <v>1363</v>
      </c>
      <c r="H378" s="427" t="s">
        <v>1671</v>
      </c>
      <c r="I378" s="216">
        <v>250000</v>
      </c>
      <c r="J378" s="166">
        <f t="shared" si="63"/>
        <v>45000</v>
      </c>
      <c r="Q378" s="52" t="s">
        <v>1124</v>
      </c>
      <c r="R378" s="241">
        <f>I378+J378-(I378*0.1)</f>
        <v>270000</v>
      </c>
      <c r="U378" s="166" t="str">
        <f>IF(S378=R378, "clear", "not clear")</f>
        <v>not clear</v>
      </c>
    </row>
    <row r="379" spans="1:24">
      <c r="C379" s="172" t="s">
        <v>1362</v>
      </c>
      <c r="D379" s="168">
        <v>3300000</v>
      </c>
      <c r="E379" s="497" t="s">
        <v>1363</v>
      </c>
      <c r="H379" s="183" t="s">
        <v>1672</v>
      </c>
      <c r="I379" s="184">
        <v>250000</v>
      </c>
      <c r="J379" s="166">
        <f t="shared" si="63"/>
        <v>45000</v>
      </c>
      <c r="Q379" s="52" t="s">
        <v>1124</v>
      </c>
      <c r="R379" s="241">
        <f>I379+J379-(I379*0.1)</f>
        <v>270000</v>
      </c>
      <c r="U379" s="166" t="str">
        <f>IF(S379=R379, "clear", "not clear")</f>
        <v>not clear</v>
      </c>
    </row>
    <row r="380" spans="1:24">
      <c r="C380" s="172" t="s">
        <v>1319</v>
      </c>
      <c r="D380" s="168">
        <v>1250000</v>
      </c>
      <c r="E380" s="497" t="s">
        <v>1320</v>
      </c>
      <c r="F380" s="52"/>
      <c r="H380" s="451" t="s">
        <v>767</v>
      </c>
      <c r="I380" s="44">
        <v>125000</v>
      </c>
      <c r="J380" s="440">
        <f t="shared" si="63"/>
        <v>22500</v>
      </c>
      <c r="K380" s="62">
        <f>I380*10%</f>
        <v>12500</v>
      </c>
      <c r="L380" s="65"/>
      <c r="M380" s="65"/>
      <c r="N380" s="62">
        <f>I380+J380</f>
        <v>147500</v>
      </c>
      <c r="O380" s="65"/>
      <c r="P380" s="65"/>
      <c r="Q380" s="52" t="s">
        <v>1124</v>
      </c>
      <c r="R380" s="240">
        <f>I380+J380-(I380*0.1)</f>
        <v>135000</v>
      </c>
      <c r="U380" s="166" t="str">
        <f>IF(S380=R380, "clear", "not clear")</f>
        <v>not clear</v>
      </c>
    </row>
    <row r="381" spans="1:24" ht="14.65" thickBot="1">
      <c r="C381" s="172" t="s">
        <v>1322</v>
      </c>
      <c r="D381" s="168">
        <v>2800000</v>
      </c>
      <c r="E381" s="497" t="s">
        <v>1321</v>
      </c>
      <c r="F381" s="52"/>
      <c r="H381" s="183" t="s">
        <v>551</v>
      </c>
      <c r="I381" s="185">
        <v>560000</v>
      </c>
      <c r="J381" s="166">
        <f t="shared" si="63"/>
        <v>100800</v>
      </c>
      <c r="K381" s="52">
        <f>I381*10%</f>
        <v>56000</v>
      </c>
      <c r="N381" s="52">
        <f>I381+J381</f>
        <v>660800</v>
      </c>
      <c r="Q381" s="52" t="s">
        <v>1124</v>
      </c>
      <c r="R381" s="240">
        <f>I381+J381-(I381*0.1)</f>
        <v>604800</v>
      </c>
      <c r="U381" s="166" t="str">
        <f>IF(S381=R381, "clear", "not clear")</f>
        <v>not clear</v>
      </c>
    </row>
    <row r="382" spans="1:24" ht="16.5" customHeight="1" thickBot="1">
      <c r="A382" s="52"/>
      <c r="B382" s="52"/>
      <c r="C382" s="80" t="s">
        <v>1066</v>
      </c>
      <c r="D382" s="86"/>
      <c r="E382" s="52" t="s">
        <v>1430</v>
      </c>
      <c r="F382" s="52"/>
      <c r="G382" s="52"/>
      <c r="H382" s="432" t="s">
        <v>992</v>
      </c>
      <c r="I382" s="436">
        <v>75000</v>
      </c>
      <c r="J382" s="166">
        <f t="shared" si="63"/>
        <v>13500</v>
      </c>
      <c r="O382" s="52"/>
      <c r="P382" s="52"/>
      <c r="Q382" s="52" t="s">
        <v>1164</v>
      </c>
      <c r="R382" s="163"/>
      <c r="S382" s="52"/>
      <c r="T382" s="52"/>
      <c r="U382" s="52"/>
      <c r="V382" s="52"/>
    </row>
    <row r="383" spans="1:24" ht="16.5" customHeight="1" thickBot="1">
      <c r="A383" s="52"/>
      <c r="B383" s="52"/>
      <c r="C383" s="80" t="s">
        <v>1066</v>
      </c>
      <c r="D383" s="86"/>
      <c r="E383" s="52" t="s">
        <v>1430</v>
      </c>
      <c r="F383" s="52"/>
      <c r="G383" s="52"/>
      <c r="H383" s="27" t="s">
        <v>1078</v>
      </c>
      <c r="I383" s="436">
        <v>75000</v>
      </c>
      <c r="J383" s="166">
        <f t="shared" si="63"/>
        <v>13500</v>
      </c>
      <c r="O383" s="52"/>
      <c r="P383" s="52"/>
      <c r="Q383" s="52" t="s">
        <v>1164</v>
      </c>
      <c r="R383" s="163"/>
      <c r="S383" s="52"/>
      <c r="T383" s="52"/>
      <c r="U383" s="52"/>
      <c r="V383" s="52"/>
    </row>
    <row r="384" spans="1:24" ht="30.75" customHeight="1" thickBot="1">
      <c r="C384" s="172" t="s">
        <v>1403</v>
      </c>
      <c r="D384" s="168">
        <v>1800000</v>
      </c>
      <c r="E384" s="497" t="s">
        <v>1404</v>
      </c>
      <c r="H384" s="201" t="s">
        <v>1664</v>
      </c>
      <c r="I384" s="476">
        <v>90000</v>
      </c>
      <c r="J384" s="221">
        <f t="shared" si="63"/>
        <v>16200</v>
      </c>
      <c r="Q384" s="166" t="s">
        <v>1124</v>
      </c>
      <c r="R384" s="221"/>
      <c r="S384" s="166"/>
    </row>
    <row r="385" spans="3:21" ht="15.75" customHeight="1" thickBot="1">
      <c r="C385" s="172" t="s">
        <v>1403</v>
      </c>
      <c r="D385" s="168">
        <v>1800000</v>
      </c>
      <c r="E385" s="497" t="s">
        <v>1404</v>
      </c>
      <c r="H385" s="201" t="s">
        <v>1673</v>
      </c>
      <c r="I385" s="476">
        <v>180000</v>
      </c>
      <c r="J385" s="221">
        <f t="shared" si="63"/>
        <v>32400</v>
      </c>
      <c r="Q385" s="166" t="s">
        <v>1124</v>
      </c>
      <c r="R385" s="221"/>
      <c r="S385" s="166"/>
    </row>
    <row r="386" spans="3:21" ht="16.5" customHeight="1" thickBot="1">
      <c r="C386" s="80" t="s">
        <v>1362</v>
      </c>
      <c r="D386" s="86">
        <v>3300000</v>
      </c>
      <c r="E386" s="501" t="s">
        <v>1363</v>
      </c>
      <c r="H386" s="449" t="s">
        <v>1674</v>
      </c>
      <c r="I386" s="216">
        <v>150000</v>
      </c>
      <c r="J386" s="221">
        <f t="shared" si="63"/>
        <v>27000</v>
      </c>
      <c r="Q386" s="166" t="s">
        <v>1124</v>
      </c>
      <c r="R386" s="221"/>
      <c r="S386" s="166"/>
    </row>
    <row r="387" spans="3:21" ht="16.5" customHeight="1" thickBot="1">
      <c r="C387" s="80" t="s">
        <v>1362</v>
      </c>
      <c r="D387" s="86">
        <v>3300000</v>
      </c>
      <c r="E387" s="52" t="s">
        <v>1363</v>
      </c>
      <c r="G387" s="185"/>
      <c r="H387" s="449" t="s">
        <v>1675</v>
      </c>
      <c r="I387" s="216">
        <v>150000</v>
      </c>
      <c r="J387" s="221">
        <f t="shared" si="63"/>
        <v>27000</v>
      </c>
      <c r="Q387" s="166" t="s">
        <v>1163</v>
      </c>
      <c r="R387" s="221"/>
      <c r="S387" s="166"/>
    </row>
    <row r="388" spans="3:21">
      <c r="C388" s="172" t="s">
        <v>1354</v>
      </c>
      <c r="D388" s="168">
        <v>5500000</v>
      </c>
      <c r="E388" s="497" t="s">
        <v>1355</v>
      </c>
      <c r="F388" s="52"/>
      <c r="H388" s="59" t="s">
        <v>1676</v>
      </c>
      <c r="I388" s="227">
        <f>825000*0.6</f>
        <v>495000</v>
      </c>
      <c r="J388" s="221">
        <f t="shared" si="63"/>
        <v>89100</v>
      </c>
      <c r="Q388" s="166" t="s">
        <v>1124</v>
      </c>
      <c r="R388" s="240">
        <f>I388+J388-(I388*0.1)</f>
        <v>534600</v>
      </c>
      <c r="U388" s="166" t="str">
        <f>IF(S388=R388, "clear", "not clear")</f>
        <v>not clear</v>
      </c>
    </row>
    <row r="389" spans="3:21">
      <c r="C389" s="172" t="s">
        <v>1354</v>
      </c>
      <c r="D389" s="168">
        <v>5500000</v>
      </c>
      <c r="E389" s="497" t="s">
        <v>1355</v>
      </c>
      <c r="F389" s="52"/>
      <c r="H389" s="378" t="s">
        <v>1677</v>
      </c>
      <c r="I389" s="227">
        <f>1100000*0.6</f>
        <v>660000</v>
      </c>
      <c r="J389" s="221">
        <f t="shared" si="63"/>
        <v>118800</v>
      </c>
      <c r="Q389" s="166" t="s">
        <v>1124</v>
      </c>
      <c r="R389" s="240">
        <f>I389+J389-(I389*0.1)</f>
        <v>712800</v>
      </c>
      <c r="U389" s="166" t="str">
        <f>IF(S389=R389, "clear", "not clear")</f>
        <v>not clear</v>
      </c>
    </row>
    <row r="390" spans="3:21">
      <c r="C390" s="172" t="s">
        <v>1403</v>
      </c>
      <c r="D390" s="168">
        <v>1800000</v>
      </c>
      <c r="E390" s="497" t="s">
        <v>1404</v>
      </c>
      <c r="H390" s="371" t="s">
        <v>1628</v>
      </c>
      <c r="I390" s="62">
        <v>270000</v>
      </c>
      <c r="J390" s="221">
        <f t="shared" si="63"/>
        <v>48600</v>
      </c>
      <c r="Q390" s="166" t="s">
        <v>1124</v>
      </c>
      <c r="R390" s="240">
        <f>I390+J390-(I390*0.1)</f>
        <v>291600</v>
      </c>
      <c r="U390" s="166" t="str">
        <f>IF(S390=R390, "clear", "not clear")</f>
        <v>not clear</v>
      </c>
    </row>
    <row r="391" spans="3:21">
      <c r="C391" s="172" t="s">
        <v>1403</v>
      </c>
      <c r="D391" s="168">
        <v>1800000</v>
      </c>
      <c r="E391" s="497" t="s">
        <v>1404</v>
      </c>
      <c r="H391" s="371" t="s">
        <v>1678</v>
      </c>
      <c r="I391" s="62">
        <v>180000</v>
      </c>
      <c r="J391" s="221">
        <f t="shared" si="63"/>
        <v>32400</v>
      </c>
      <c r="Q391" s="166" t="s">
        <v>1124</v>
      </c>
      <c r="R391" s="240">
        <f>I391+J391-(I391*0.1)</f>
        <v>194400</v>
      </c>
      <c r="U391" s="166" t="str">
        <f>IF(S391=R391, "clear", "not clear")</f>
        <v>not clear</v>
      </c>
    </row>
    <row r="392" spans="3:21">
      <c r="C392" s="172" t="s">
        <v>1439</v>
      </c>
      <c r="D392" s="168">
        <v>2000000</v>
      </c>
      <c r="E392" s="166" t="s">
        <v>1440</v>
      </c>
      <c r="H392" s="172" t="s">
        <v>907</v>
      </c>
      <c r="I392" s="168">
        <f>2000000*0.025</f>
        <v>50000</v>
      </c>
      <c r="J392" s="221">
        <f t="shared" si="63"/>
        <v>9000</v>
      </c>
      <c r="Q392" s="166" t="s">
        <v>1164</v>
      </c>
      <c r="R392" s="221"/>
      <c r="S392" s="166"/>
    </row>
    <row r="393" spans="3:21">
      <c r="C393" s="172" t="s">
        <v>1403</v>
      </c>
      <c r="D393" s="168">
        <v>1800000</v>
      </c>
      <c r="E393" s="497" t="s">
        <v>1404</v>
      </c>
      <c r="H393" s="371" t="s">
        <v>1679</v>
      </c>
      <c r="I393" s="62">
        <v>90000</v>
      </c>
      <c r="J393" s="166">
        <f t="shared" si="63"/>
        <v>16200</v>
      </c>
      <c r="Q393" s="166" t="s">
        <v>1124</v>
      </c>
      <c r="R393" s="422">
        <f>I393+J393-(I393*0.1)</f>
        <v>97200</v>
      </c>
      <c r="U393" s="166" t="str">
        <f>IF(S393=R393, "clear", "not clear")</f>
        <v>not clear</v>
      </c>
    </row>
    <row r="394" spans="3:21">
      <c r="C394" s="172" t="s">
        <v>1422</v>
      </c>
      <c r="D394" s="168">
        <v>1800000</v>
      </c>
      <c r="E394" s="497" t="s">
        <v>1423</v>
      </c>
      <c r="G394" s="175"/>
      <c r="H394" s="175" t="s">
        <v>598</v>
      </c>
      <c r="I394" s="206">
        <f>1800000*0.1</f>
        <v>180000</v>
      </c>
      <c r="J394" s="440">
        <f t="shared" si="63"/>
        <v>32400</v>
      </c>
      <c r="Q394" s="166" t="s">
        <v>1124</v>
      </c>
      <c r="R394" s="440"/>
      <c r="S394" s="166"/>
    </row>
    <row r="395" spans="3:21">
      <c r="C395" s="172" t="s">
        <v>1422</v>
      </c>
      <c r="D395" s="168">
        <v>1800000</v>
      </c>
      <c r="E395" s="497" t="s">
        <v>1423</v>
      </c>
      <c r="G395" s="172"/>
      <c r="H395" s="172" t="s">
        <v>1680</v>
      </c>
      <c r="I395" s="168">
        <f>1800000*0.05</f>
        <v>90000</v>
      </c>
      <c r="J395" s="166">
        <f t="shared" si="63"/>
        <v>16200</v>
      </c>
      <c r="Q395" s="166" t="s">
        <v>1124</v>
      </c>
      <c r="R395" s="221"/>
      <c r="S395" s="166"/>
    </row>
    <row r="396" spans="3:21">
      <c r="C396" s="172" t="s">
        <v>1422</v>
      </c>
      <c r="D396" s="168">
        <v>1800000</v>
      </c>
      <c r="E396" s="497" t="s">
        <v>1423</v>
      </c>
      <c r="G396" s="172"/>
      <c r="H396" s="172" t="s">
        <v>606</v>
      </c>
      <c r="I396" s="168">
        <f>1800000*0.05</f>
        <v>90000</v>
      </c>
      <c r="J396" s="166">
        <f t="shared" si="63"/>
        <v>16200</v>
      </c>
      <c r="Q396" s="166" t="s">
        <v>1124</v>
      </c>
      <c r="R396" s="440"/>
      <c r="S396" s="166"/>
    </row>
    <row r="397" spans="3:21" ht="30.75" customHeight="1" thickBot="1">
      <c r="C397" s="172" t="s">
        <v>1362</v>
      </c>
      <c r="D397" s="168">
        <v>3300000</v>
      </c>
      <c r="E397" s="497" t="s">
        <v>1363</v>
      </c>
      <c r="H397" s="460" t="s">
        <v>1681</v>
      </c>
      <c r="I397" s="236">
        <v>200000</v>
      </c>
      <c r="J397" s="221">
        <f t="shared" si="63"/>
        <v>36000</v>
      </c>
      <c r="K397" s="232"/>
      <c r="L397" s="232"/>
      <c r="M397" s="233"/>
      <c r="Q397" s="166" t="s">
        <v>1124</v>
      </c>
      <c r="R397" s="240">
        <f>I397+J397-(I397*0.1)</f>
        <v>216000</v>
      </c>
      <c r="U397" s="166" t="str">
        <f>IF(S397=R397, "clear", "not clear")</f>
        <v>not clear</v>
      </c>
    </row>
    <row r="398" spans="3:21" ht="15.75" customHeight="1" thickBot="1">
      <c r="C398" s="172" t="s">
        <v>1433</v>
      </c>
      <c r="D398" s="168">
        <v>3600000</v>
      </c>
      <c r="E398" s="497" t="s">
        <v>1434</v>
      </c>
      <c r="H398" s="431" t="s">
        <v>765</v>
      </c>
      <c r="I398" s="435">
        <v>360000</v>
      </c>
      <c r="J398" s="221">
        <f t="shared" si="63"/>
        <v>64800</v>
      </c>
      <c r="Q398" s="166" t="s">
        <v>1124</v>
      </c>
      <c r="R398" s="240">
        <f>I398+J398-(I398*0.1)</f>
        <v>388800</v>
      </c>
      <c r="U398" s="166" t="str">
        <f>IF(S398=R398, "clear", "not clear")</f>
        <v>not clear</v>
      </c>
    </row>
    <row r="399" spans="3:21" ht="15.75" customHeight="1" thickBot="1">
      <c r="C399" s="172" t="s">
        <v>1219</v>
      </c>
      <c r="D399" s="168">
        <v>300000</v>
      </c>
      <c r="E399" s="166"/>
      <c r="H399" s="174"/>
      <c r="I399" s="169"/>
      <c r="J399" s="52"/>
      <c r="Q399" s="166" t="s">
        <v>973</v>
      </c>
      <c r="R399" s="166"/>
      <c r="S399" s="166"/>
    </row>
    <row r="400" spans="3:21" ht="15.75" customHeight="1" thickBot="1">
      <c r="C400" s="172" t="s">
        <v>1422</v>
      </c>
      <c r="D400" s="168">
        <v>1800000</v>
      </c>
      <c r="E400" s="497" t="s">
        <v>1423</v>
      </c>
      <c r="H400" s="174" t="s">
        <v>399</v>
      </c>
      <c r="I400" s="169">
        <f>1800000*0.15</f>
        <v>270000</v>
      </c>
      <c r="J400" s="221">
        <f t="shared" ref="J400:J405" si="64">I400*0.18</f>
        <v>48600</v>
      </c>
      <c r="M400" s="163"/>
      <c r="Q400" s="166" t="s">
        <v>1124</v>
      </c>
      <c r="R400" s="422">
        <f>I400+J400-(I400*0.1)</f>
        <v>291600</v>
      </c>
      <c r="U400" s="166" t="str">
        <f>IF(S400=R400, "clear", "not clear")</f>
        <v>not clear</v>
      </c>
    </row>
    <row r="401" spans="2:21" ht="15.75" customHeight="1" thickBot="1">
      <c r="C401" s="172" t="s">
        <v>1439</v>
      </c>
      <c r="D401" s="168">
        <v>2000000</v>
      </c>
      <c r="E401" s="497" t="s">
        <v>1440</v>
      </c>
      <c r="H401" s="174" t="s">
        <v>571</v>
      </c>
      <c r="I401" s="169">
        <v>300000</v>
      </c>
      <c r="J401" s="221">
        <f t="shared" si="64"/>
        <v>54000</v>
      </c>
      <c r="Q401" s="166" t="s">
        <v>1124</v>
      </c>
      <c r="R401" s="221"/>
      <c r="S401" s="166"/>
    </row>
    <row r="402" spans="2:21" ht="15.75" customHeight="1" thickBot="1">
      <c r="C402" s="172" t="s">
        <v>1439</v>
      </c>
      <c r="D402" s="168">
        <v>2000000</v>
      </c>
      <c r="E402" s="166" t="s">
        <v>1440</v>
      </c>
      <c r="H402" s="174" t="s">
        <v>598</v>
      </c>
      <c r="I402" s="169">
        <v>300000</v>
      </c>
      <c r="J402" s="221">
        <f t="shared" si="64"/>
        <v>54000</v>
      </c>
      <c r="Q402" s="166" t="s">
        <v>1163</v>
      </c>
      <c r="R402" s="221"/>
      <c r="S402" s="166"/>
    </row>
    <row r="403" spans="2:21" ht="15.75" customHeight="1" thickBot="1">
      <c r="C403" s="172" t="s">
        <v>1439</v>
      </c>
      <c r="D403" s="168">
        <v>2000000</v>
      </c>
      <c r="E403" s="166" t="s">
        <v>1440</v>
      </c>
      <c r="H403" s="174" t="s">
        <v>600</v>
      </c>
      <c r="I403" s="169">
        <f>2000000*0.075</f>
        <v>150000</v>
      </c>
      <c r="J403" s="221">
        <f t="shared" si="64"/>
        <v>27000</v>
      </c>
      <c r="M403" s="98"/>
      <c r="Q403" s="166" t="s">
        <v>1163</v>
      </c>
      <c r="R403" s="440"/>
      <c r="S403" s="166"/>
    </row>
    <row r="404" spans="2:21" ht="15.75" customHeight="1" thickBot="1">
      <c r="C404" s="172" t="s">
        <v>1422</v>
      </c>
      <c r="D404" s="168">
        <v>1800000</v>
      </c>
      <c r="E404" s="497" t="s">
        <v>1423</v>
      </c>
      <c r="G404" s="186"/>
      <c r="H404" s="174" t="s">
        <v>571</v>
      </c>
      <c r="I404" s="169">
        <f>1800000*0.1</f>
        <v>180000</v>
      </c>
      <c r="J404" s="221">
        <f t="shared" si="64"/>
        <v>32400</v>
      </c>
      <c r="O404" s="185"/>
      <c r="Q404" s="166" t="s">
        <v>1124</v>
      </c>
      <c r="R404" s="422">
        <f>I404+J404-(I404*0.1)</f>
        <v>194400</v>
      </c>
      <c r="U404" s="166" t="str">
        <f>IF(S404=R404, "clear", "not clear")</f>
        <v>not clear</v>
      </c>
    </row>
    <row r="405" spans="2:21" ht="15.75" customHeight="1" thickBot="1">
      <c r="C405" s="172" t="s">
        <v>1403</v>
      </c>
      <c r="D405" s="168">
        <v>1800000</v>
      </c>
      <c r="E405" s="497" t="s">
        <v>1404</v>
      </c>
      <c r="H405" s="467" t="s">
        <v>1406</v>
      </c>
      <c r="I405" s="103">
        <v>180000</v>
      </c>
      <c r="J405" s="221">
        <f t="shared" si="64"/>
        <v>32400</v>
      </c>
      <c r="K405" s="166"/>
      <c r="L405" s="166" t="s">
        <v>973</v>
      </c>
      <c r="M405" s="166"/>
      <c r="N405" s="166"/>
      <c r="Q405" s="166" t="s">
        <v>1124</v>
      </c>
      <c r="R405" s="241">
        <f>I405+J405-(I405*0.1)</f>
        <v>194400</v>
      </c>
      <c r="U405" s="166" t="str">
        <f>IF(S405=R405, "clear", "not clear")</f>
        <v>not clear</v>
      </c>
    </row>
    <row r="406" spans="2:21" ht="15.75" customHeight="1" thickBot="1">
      <c r="B406" s="166" t="s">
        <v>30</v>
      </c>
      <c r="C406" s="172" t="s">
        <v>1453</v>
      </c>
      <c r="D406" s="168">
        <v>1250000</v>
      </c>
      <c r="E406" s="166" t="s">
        <v>1454</v>
      </c>
      <c r="H406" s="228" t="s">
        <v>1682</v>
      </c>
      <c r="I406" s="227">
        <v>100000</v>
      </c>
      <c r="J406" s="221">
        <v>45000</v>
      </c>
      <c r="K406" s="166"/>
      <c r="L406" s="166" t="s">
        <v>1019</v>
      </c>
      <c r="M406" s="422">
        <v>270000</v>
      </c>
      <c r="N406" s="241"/>
      <c r="P406" s="238"/>
      <c r="R406" s="221"/>
      <c r="S406" s="166"/>
      <c r="U406" s="166" t="s">
        <v>1683</v>
      </c>
    </row>
    <row r="407" spans="2:21" ht="15.75" customHeight="1" thickBot="1">
      <c r="B407" s="166" t="s">
        <v>30</v>
      </c>
      <c r="C407" s="172" t="s">
        <v>1453</v>
      </c>
      <c r="D407" s="168">
        <v>1250000</v>
      </c>
      <c r="E407" s="166" t="s">
        <v>1454</v>
      </c>
      <c r="H407" s="228" t="s">
        <v>764</v>
      </c>
      <c r="I407" s="227">
        <v>250000</v>
      </c>
      <c r="J407" s="221">
        <f t="shared" ref="J407:J417" si="65">I407*0.18</f>
        <v>45000</v>
      </c>
      <c r="P407" s="238"/>
      <c r="R407" s="240"/>
      <c r="U407" s="166" t="str">
        <f>IF(S407=R407, "clear", "not clear")</f>
        <v>clear</v>
      </c>
    </row>
    <row r="408" spans="2:21" ht="15.75" customHeight="1" thickBot="1">
      <c r="B408" s="166" t="s">
        <v>30</v>
      </c>
      <c r="C408" s="172" t="s">
        <v>1453</v>
      </c>
      <c r="D408" s="168">
        <v>1250000</v>
      </c>
      <c r="E408" s="166" t="s">
        <v>1454</v>
      </c>
      <c r="H408" s="228" t="s">
        <v>765</v>
      </c>
      <c r="I408" s="227">
        <v>125000</v>
      </c>
      <c r="J408" s="221">
        <f t="shared" si="65"/>
        <v>22500</v>
      </c>
      <c r="P408" s="238"/>
      <c r="R408" s="240"/>
      <c r="U408" s="166" t="str">
        <f>IF(S408=R408, "clear", "not clear")</f>
        <v>clear</v>
      </c>
    </row>
    <row r="409" spans="2:21" ht="15.75" customHeight="1" thickBot="1">
      <c r="B409" s="166" t="s">
        <v>30</v>
      </c>
      <c r="C409" s="172" t="s">
        <v>1453</v>
      </c>
      <c r="D409" s="168">
        <v>1250000</v>
      </c>
      <c r="E409" s="166" t="s">
        <v>1454</v>
      </c>
      <c r="H409" s="243" t="s">
        <v>767</v>
      </c>
      <c r="I409" s="244">
        <v>125000</v>
      </c>
      <c r="J409" s="221">
        <f t="shared" si="65"/>
        <v>22500</v>
      </c>
      <c r="P409" s="238"/>
      <c r="R409" s="221"/>
      <c r="S409" s="166"/>
    </row>
    <row r="410" spans="2:21" ht="15.75" customHeight="1" thickBot="1">
      <c r="B410" s="166" t="s">
        <v>30</v>
      </c>
      <c r="C410" s="172" t="s">
        <v>1453</v>
      </c>
      <c r="D410" s="168">
        <v>1250000</v>
      </c>
      <c r="E410" s="166" t="s">
        <v>1454</v>
      </c>
      <c r="H410" s="243" t="s">
        <v>770</v>
      </c>
      <c r="I410" s="244">
        <v>62500</v>
      </c>
      <c r="J410" s="221">
        <f t="shared" si="65"/>
        <v>11250</v>
      </c>
      <c r="P410" s="238"/>
      <c r="R410" s="221"/>
      <c r="S410" s="166"/>
    </row>
    <row r="411" spans="2:21" ht="15.75" customHeight="1" thickBot="1">
      <c r="B411" s="166" t="s">
        <v>30</v>
      </c>
      <c r="C411" s="172" t="s">
        <v>1453</v>
      </c>
      <c r="D411" s="168">
        <v>1250000</v>
      </c>
      <c r="E411" s="166" t="s">
        <v>1454</v>
      </c>
      <c r="H411" s="243" t="s">
        <v>771</v>
      </c>
      <c r="I411" s="244">
        <v>62500</v>
      </c>
      <c r="J411" s="221">
        <f t="shared" si="65"/>
        <v>11250</v>
      </c>
      <c r="P411" s="238"/>
      <c r="R411" s="221"/>
      <c r="S411" s="166"/>
    </row>
    <row r="412" spans="2:21" ht="15.75" customHeight="1" thickBot="1">
      <c r="C412" s="172" t="s">
        <v>1403</v>
      </c>
      <c r="D412" s="168">
        <v>1800000</v>
      </c>
      <c r="E412" s="497" t="s">
        <v>1404</v>
      </c>
      <c r="H412" s="459" t="s">
        <v>1407</v>
      </c>
      <c r="I412" s="62">
        <v>135000</v>
      </c>
      <c r="J412" s="221">
        <f t="shared" si="65"/>
        <v>24300</v>
      </c>
      <c r="K412" s="166"/>
      <c r="L412" s="166" t="s">
        <v>973</v>
      </c>
      <c r="M412" s="166"/>
      <c r="N412" s="166"/>
      <c r="P412" s="238"/>
      <c r="Q412" s="166" t="s">
        <v>1124</v>
      </c>
      <c r="R412" s="240">
        <f t="shared" ref="R412:R417" si="66">I412+J412-(I412*0.1)</f>
        <v>145800</v>
      </c>
      <c r="U412" s="166" t="str">
        <f t="shared" ref="U412:U417" si="67">IF(S412=R412, "clear", "not clear")</f>
        <v>not clear</v>
      </c>
    </row>
    <row r="413" spans="2:21">
      <c r="C413" s="172" t="s">
        <v>1429</v>
      </c>
      <c r="E413" s="497" t="s">
        <v>1430</v>
      </c>
      <c r="H413" s="231" t="s">
        <v>761</v>
      </c>
      <c r="I413" s="63">
        <v>225000</v>
      </c>
      <c r="J413" s="221">
        <f t="shared" si="65"/>
        <v>40500</v>
      </c>
      <c r="Q413" s="166" t="s">
        <v>1124</v>
      </c>
      <c r="R413" s="240">
        <f t="shared" si="66"/>
        <v>243000</v>
      </c>
      <c r="U413" s="166" t="str">
        <f t="shared" si="67"/>
        <v>not clear</v>
      </c>
    </row>
    <row r="414" spans="2:21">
      <c r="C414" s="172" t="s">
        <v>1685</v>
      </c>
      <c r="D414" s="168">
        <v>300000</v>
      </c>
      <c r="E414" s="166"/>
      <c r="H414" s="172" t="s">
        <v>69</v>
      </c>
      <c r="I414" s="168">
        <v>19598</v>
      </c>
      <c r="J414" s="221">
        <f t="shared" si="65"/>
        <v>3527.64</v>
      </c>
      <c r="Q414" s="166" t="s">
        <v>973</v>
      </c>
      <c r="R414" s="240">
        <f t="shared" si="66"/>
        <v>21165.84</v>
      </c>
      <c r="S414" s="241">
        <f>I414+(I414*0.18)-(I414*0.1)</f>
        <v>21165.84</v>
      </c>
      <c r="U414" s="166" t="str">
        <f t="shared" si="67"/>
        <v>clear</v>
      </c>
    </row>
    <row r="415" spans="2:21">
      <c r="C415" s="172" t="s">
        <v>1439</v>
      </c>
      <c r="D415" s="168">
        <v>2000000</v>
      </c>
      <c r="E415" s="497" t="s">
        <v>1440</v>
      </c>
      <c r="H415" s="172" t="s">
        <v>551</v>
      </c>
      <c r="I415" s="168">
        <v>400000</v>
      </c>
      <c r="J415" s="221">
        <f t="shared" si="65"/>
        <v>72000</v>
      </c>
      <c r="Q415" s="166" t="s">
        <v>1124</v>
      </c>
      <c r="R415" s="240">
        <f t="shared" si="66"/>
        <v>432000</v>
      </c>
      <c r="U415" s="166" t="str">
        <f t="shared" si="67"/>
        <v>not clear</v>
      </c>
    </row>
    <row r="416" spans="2:21">
      <c r="C416" s="172" t="s">
        <v>1439</v>
      </c>
      <c r="D416" s="168">
        <v>2000000</v>
      </c>
      <c r="E416" s="497" t="s">
        <v>1440</v>
      </c>
      <c r="H416" s="172" t="s">
        <v>399</v>
      </c>
      <c r="I416" s="168">
        <v>400000</v>
      </c>
      <c r="J416" s="221">
        <f t="shared" si="65"/>
        <v>72000</v>
      </c>
      <c r="Q416" s="166" t="s">
        <v>1124</v>
      </c>
      <c r="R416" s="240">
        <f t="shared" si="66"/>
        <v>432000</v>
      </c>
      <c r="U416" s="166" t="str">
        <f t="shared" si="67"/>
        <v>not clear</v>
      </c>
    </row>
    <row r="417" spans="3:21">
      <c r="C417" s="172" t="s">
        <v>1319</v>
      </c>
      <c r="D417" s="168">
        <v>1250000</v>
      </c>
      <c r="E417" s="497" t="s">
        <v>1320</v>
      </c>
      <c r="F417" s="52"/>
      <c r="H417" s="510" t="s">
        <v>766</v>
      </c>
      <c r="I417" s="62">
        <v>187500</v>
      </c>
      <c r="J417" s="221">
        <f t="shared" si="65"/>
        <v>33750</v>
      </c>
      <c r="K417" s="62">
        <f>I417*10%</f>
        <v>18750</v>
      </c>
      <c r="L417" s="65"/>
      <c r="M417" s="65"/>
      <c r="N417" s="62">
        <f>I417+J417</f>
        <v>221250</v>
      </c>
      <c r="O417" s="65"/>
      <c r="P417" s="65"/>
      <c r="Q417" s="166" t="s">
        <v>1124</v>
      </c>
      <c r="R417" s="240">
        <f t="shared" si="66"/>
        <v>202500</v>
      </c>
      <c r="U417" s="166" t="str">
        <f t="shared" si="67"/>
        <v>not clear</v>
      </c>
    </row>
    <row r="418" spans="3:21">
      <c r="C418" s="172" t="s">
        <v>1219</v>
      </c>
      <c r="D418" s="184">
        <v>4300000</v>
      </c>
      <c r="H418" s="172" t="s">
        <v>1686</v>
      </c>
      <c r="I418" s="168">
        <f>0.25*D418</f>
        <v>1075000</v>
      </c>
      <c r="J418" s="163"/>
      <c r="Q418" s="166" t="s">
        <v>1124</v>
      </c>
      <c r="R418" s="221"/>
      <c r="S418" s="166"/>
    </row>
    <row r="419" spans="3:21">
      <c r="C419" s="172" t="s">
        <v>1219</v>
      </c>
      <c r="D419" s="184">
        <v>4300000</v>
      </c>
      <c r="H419" s="172" t="s">
        <v>1687</v>
      </c>
      <c r="I419" s="168">
        <f>0.1*D419</f>
        <v>430000</v>
      </c>
      <c r="J419" s="163"/>
      <c r="Q419" s="166" t="s">
        <v>1124</v>
      </c>
      <c r="R419" s="221"/>
      <c r="S419" s="166"/>
    </row>
    <row r="420" spans="3:21">
      <c r="C420" s="172" t="s">
        <v>1042</v>
      </c>
      <c r="D420" s="168">
        <v>3000000</v>
      </c>
      <c r="E420" s="497" t="s">
        <v>1491</v>
      </c>
      <c r="H420" s="172" t="s">
        <v>551</v>
      </c>
      <c r="I420" s="104">
        <v>600000</v>
      </c>
      <c r="J420" s="221">
        <f t="shared" ref="J420:J444" si="68">I420*0.18</f>
        <v>108000</v>
      </c>
      <c r="Q420" s="166" t="s">
        <v>1124</v>
      </c>
      <c r="R420" s="240">
        <f t="shared" ref="R420:R425" si="69">I420+J420-(I420*0.02)</f>
        <v>696000</v>
      </c>
      <c r="U420" s="166" t="str">
        <f t="shared" ref="U420:U444" si="70">IF(S420=R420, "clear", "not clear")</f>
        <v>not clear</v>
      </c>
    </row>
    <row r="421" spans="3:21">
      <c r="C421" s="172" t="s">
        <v>1042</v>
      </c>
      <c r="D421" s="168">
        <v>3000000</v>
      </c>
      <c r="E421" s="166" t="s">
        <v>1491</v>
      </c>
      <c r="H421" s="172" t="s">
        <v>606</v>
      </c>
      <c r="I421" s="104">
        <v>150000</v>
      </c>
      <c r="J421" s="221">
        <f t="shared" si="68"/>
        <v>27000</v>
      </c>
      <c r="Q421" s="166" t="s">
        <v>1164</v>
      </c>
      <c r="R421" s="240">
        <f t="shared" si="69"/>
        <v>174000</v>
      </c>
      <c r="U421" s="166" t="str">
        <f t="shared" si="70"/>
        <v>not clear</v>
      </c>
    </row>
    <row r="422" spans="3:21">
      <c r="C422" s="172" t="s">
        <v>1042</v>
      </c>
      <c r="D422" s="168">
        <v>3000000</v>
      </c>
      <c r="E422" s="497" t="s">
        <v>1491</v>
      </c>
      <c r="H422" s="172" t="s">
        <v>847</v>
      </c>
      <c r="I422" s="104">
        <v>450000</v>
      </c>
      <c r="J422" s="221">
        <f t="shared" si="68"/>
        <v>81000</v>
      </c>
      <c r="Q422" s="166" t="s">
        <v>1124</v>
      </c>
      <c r="R422" s="240">
        <f t="shared" si="69"/>
        <v>522000</v>
      </c>
      <c r="U422" s="166" t="str">
        <f t="shared" si="70"/>
        <v>not clear</v>
      </c>
    </row>
    <row r="423" spans="3:21">
      <c r="C423" s="172" t="s">
        <v>1042</v>
      </c>
      <c r="D423" s="168">
        <v>3000000</v>
      </c>
      <c r="E423" s="166" t="s">
        <v>1491</v>
      </c>
      <c r="H423" s="172" t="s">
        <v>571</v>
      </c>
      <c r="I423" s="104">
        <v>300000</v>
      </c>
      <c r="J423" s="221">
        <f t="shared" si="68"/>
        <v>54000</v>
      </c>
      <c r="Q423" s="166" t="s">
        <v>1163</v>
      </c>
      <c r="R423" s="240">
        <f t="shared" si="69"/>
        <v>348000</v>
      </c>
      <c r="U423" s="166" t="str">
        <f t="shared" si="70"/>
        <v>not clear</v>
      </c>
    </row>
    <row r="424" spans="3:21">
      <c r="C424" s="172" t="s">
        <v>1042</v>
      </c>
      <c r="D424" s="168">
        <v>3000000</v>
      </c>
      <c r="E424" s="166" t="s">
        <v>1491</v>
      </c>
      <c r="H424" s="172" t="s">
        <v>598</v>
      </c>
      <c r="I424" s="104">
        <v>300000</v>
      </c>
      <c r="J424" s="221">
        <f t="shared" si="68"/>
        <v>54000</v>
      </c>
      <c r="Q424" s="166" t="s">
        <v>1163</v>
      </c>
      <c r="R424" s="240">
        <f t="shared" si="69"/>
        <v>348000</v>
      </c>
      <c r="U424" s="166" t="str">
        <f t="shared" si="70"/>
        <v>not clear</v>
      </c>
    </row>
    <row r="425" spans="3:21">
      <c r="C425" s="172" t="s">
        <v>1042</v>
      </c>
      <c r="D425" s="168">
        <v>3000000</v>
      </c>
      <c r="E425" s="166" t="s">
        <v>1491</v>
      </c>
      <c r="H425" s="172" t="s">
        <v>896</v>
      </c>
      <c r="I425" s="104">
        <v>150000</v>
      </c>
      <c r="J425" s="221">
        <f t="shared" si="68"/>
        <v>27000</v>
      </c>
      <c r="Q425" s="166" t="s">
        <v>1163</v>
      </c>
      <c r="R425" s="240">
        <f t="shared" si="69"/>
        <v>174000</v>
      </c>
      <c r="U425" s="166" t="str">
        <f t="shared" si="70"/>
        <v>not clear</v>
      </c>
    </row>
    <row r="426" spans="3:21">
      <c r="C426" s="172" t="s">
        <v>1688</v>
      </c>
      <c r="D426" s="168">
        <v>2000000</v>
      </c>
      <c r="E426" s="497" t="s">
        <v>1503</v>
      </c>
      <c r="H426" s="172" t="s">
        <v>653</v>
      </c>
      <c r="I426" s="168">
        <v>300000</v>
      </c>
      <c r="J426" s="221">
        <f t="shared" si="68"/>
        <v>54000</v>
      </c>
      <c r="Q426" s="166" t="s">
        <v>1124</v>
      </c>
      <c r="R426" s="240">
        <f t="shared" ref="R426:R444" si="71">I426+J426-(I426*0.1)</f>
        <v>324000</v>
      </c>
      <c r="U426" s="166" t="str">
        <f t="shared" si="70"/>
        <v>not clear</v>
      </c>
    </row>
    <row r="427" spans="3:21">
      <c r="C427" s="172" t="s">
        <v>1688</v>
      </c>
      <c r="D427" s="168">
        <v>2000000</v>
      </c>
      <c r="E427" s="497" t="s">
        <v>1503</v>
      </c>
      <c r="H427" s="172" t="s">
        <v>551</v>
      </c>
      <c r="I427" s="168">
        <v>300000</v>
      </c>
      <c r="J427" s="221">
        <f t="shared" si="68"/>
        <v>54000</v>
      </c>
      <c r="Q427" s="166" t="s">
        <v>1124</v>
      </c>
      <c r="R427" s="240">
        <f t="shared" si="71"/>
        <v>324000</v>
      </c>
      <c r="U427" s="166" t="str">
        <f t="shared" si="70"/>
        <v>not clear</v>
      </c>
    </row>
    <row r="428" spans="3:21">
      <c r="C428" s="172" t="s">
        <v>1688</v>
      </c>
      <c r="D428" s="168">
        <v>2000000</v>
      </c>
      <c r="E428" s="497" t="s">
        <v>1503</v>
      </c>
      <c r="H428" s="172" t="s">
        <v>598</v>
      </c>
      <c r="I428" s="168">
        <v>200000</v>
      </c>
      <c r="J428" s="221">
        <f t="shared" si="68"/>
        <v>36000</v>
      </c>
      <c r="Q428" s="166" t="s">
        <v>1124</v>
      </c>
      <c r="R428" s="240">
        <f t="shared" si="71"/>
        <v>216000</v>
      </c>
      <c r="U428" s="166" t="str">
        <f t="shared" si="70"/>
        <v>not clear</v>
      </c>
    </row>
    <row r="429" spans="3:21">
      <c r="C429" s="172" t="s">
        <v>1688</v>
      </c>
      <c r="D429" s="168">
        <v>2000000</v>
      </c>
      <c r="E429" s="497" t="s">
        <v>1503</v>
      </c>
      <c r="H429" s="172" t="s">
        <v>896</v>
      </c>
      <c r="I429" s="168">
        <v>100000</v>
      </c>
      <c r="J429" s="221">
        <f t="shared" si="68"/>
        <v>18000</v>
      </c>
      <c r="Q429" s="166" t="s">
        <v>1124</v>
      </c>
      <c r="R429" s="240">
        <f t="shared" si="71"/>
        <v>108000</v>
      </c>
      <c r="U429" s="166" t="str">
        <f t="shared" si="70"/>
        <v>not clear</v>
      </c>
    </row>
    <row r="430" spans="3:21">
      <c r="C430" s="172" t="s">
        <v>1688</v>
      </c>
      <c r="D430" s="168">
        <v>2000000</v>
      </c>
      <c r="E430" s="497" t="s">
        <v>1503</v>
      </c>
      <c r="H430" s="172" t="s">
        <v>606</v>
      </c>
      <c r="I430" s="168">
        <v>100000</v>
      </c>
      <c r="J430" s="221">
        <f t="shared" si="68"/>
        <v>18000</v>
      </c>
      <c r="Q430" s="166" t="s">
        <v>1124</v>
      </c>
      <c r="R430" s="240">
        <f t="shared" si="71"/>
        <v>108000</v>
      </c>
      <c r="U430" s="166" t="str">
        <f t="shared" si="70"/>
        <v>not clear</v>
      </c>
    </row>
    <row r="431" spans="3:21">
      <c r="C431" s="172" t="s">
        <v>1688</v>
      </c>
      <c r="D431" s="168">
        <v>2000000</v>
      </c>
      <c r="E431" s="497" t="s">
        <v>1503</v>
      </c>
      <c r="H431" s="172" t="s">
        <v>399</v>
      </c>
      <c r="I431" s="168">
        <v>400000</v>
      </c>
      <c r="J431" s="221">
        <f t="shared" si="68"/>
        <v>72000</v>
      </c>
      <c r="Q431" s="166" t="s">
        <v>1124</v>
      </c>
      <c r="R431" s="240">
        <f t="shared" si="71"/>
        <v>432000</v>
      </c>
      <c r="U431" s="166" t="str">
        <f t="shared" si="70"/>
        <v>not clear</v>
      </c>
    </row>
    <row r="432" spans="3:21">
      <c r="C432" s="172" t="s">
        <v>1688</v>
      </c>
      <c r="D432" s="168">
        <v>2000000</v>
      </c>
      <c r="E432" s="497" t="s">
        <v>1503</v>
      </c>
      <c r="H432" s="172" t="s">
        <v>571</v>
      </c>
      <c r="I432" s="168">
        <v>200000</v>
      </c>
      <c r="J432" s="221">
        <f t="shared" si="68"/>
        <v>36000</v>
      </c>
      <c r="Q432" s="166" t="s">
        <v>1124</v>
      </c>
      <c r="R432" s="240">
        <f t="shared" si="71"/>
        <v>216000</v>
      </c>
      <c r="U432" s="166" t="str">
        <f t="shared" si="70"/>
        <v>not clear</v>
      </c>
    </row>
    <row r="433" spans="3:21">
      <c r="C433" s="172" t="s">
        <v>1505</v>
      </c>
      <c r="D433" s="168">
        <v>850000</v>
      </c>
      <c r="E433" s="497" t="s">
        <v>1503</v>
      </c>
      <c r="G433" s="166">
        <v>2526065</v>
      </c>
      <c r="H433" s="172" t="s">
        <v>399</v>
      </c>
      <c r="I433" s="168">
        <v>170000</v>
      </c>
      <c r="J433" s="221">
        <f t="shared" si="68"/>
        <v>30600</v>
      </c>
      <c r="O433" s="166" t="s">
        <v>1162</v>
      </c>
      <c r="Q433" s="166" t="s">
        <v>1124</v>
      </c>
      <c r="R433" s="240">
        <f t="shared" si="71"/>
        <v>183600</v>
      </c>
      <c r="U433" s="166" t="str">
        <f t="shared" si="70"/>
        <v>not clear</v>
      </c>
    </row>
    <row r="434" spans="3:21">
      <c r="C434" s="172" t="s">
        <v>1505</v>
      </c>
      <c r="D434" s="168">
        <v>850000</v>
      </c>
      <c r="E434" s="497" t="s">
        <v>1503</v>
      </c>
      <c r="G434" s="166">
        <v>2526065</v>
      </c>
      <c r="H434" s="172" t="s">
        <v>571</v>
      </c>
      <c r="I434" s="168">
        <v>85000</v>
      </c>
      <c r="J434" s="221">
        <f t="shared" si="68"/>
        <v>15300</v>
      </c>
      <c r="O434" s="166" t="s">
        <v>1162</v>
      </c>
      <c r="Q434" s="166" t="s">
        <v>1124</v>
      </c>
      <c r="R434" s="240">
        <f t="shared" si="71"/>
        <v>91800</v>
      </c>
      <c r="U434" s="166" t="str">
        <f t="shared" si="70"/>
        <v>not clear</v>
      </c>
    </row>
    <row r="435" spans="3:21">
      <c r="C435" s="172" t="s">
        <v>1505</v>
      </c>
      <c r="D435" s="168">
        <v>850000</v>
      </c>
      <c r="E435" s="497" t="s">
        <v>1503</v>
      </c>
      <c r="H435" s="172" t="s">
        <v>598</v>
      </c>
      <c r="I435" s="168">
        <v>85000</v>
      </c>
      <c r="J435" s="221">
        <f t="shared" si="68"/>
        <v>15300</v>
      </c>
      <c r="Q435" s="166" t="s">
        <v>1124</v>
      </c>
      <c r="R435" s="240">
        <f t="shared" si="71"/>
        <v>91800</v>
      </c>
      <c r="U435" s="166" t="str">
        <f t="shared" si="70"/>
        <v>not clear</v>
      </c>
    </row>
    <row r="436" spans="3:21">
      <c r="C436" s="172" t="s">
        <v>1505</v>
      </c>
      <c r="D436" s="168">
        <v>850000</v>
      </c>
      <c r="E436" s="166" t="s">
        <v>1503</v>
      </c>
      <c r="H436" s="172" t="s">
        <v>896</v>
      </c>
      <c r="I436" s="168">
        <v>42500</v>
      </c>
      <c r="J436" s="221">
        <f t="shared" si="68"/>
        <v>7650</v>
      </c>
      <c r="Q436" s="166" t="s">
        <v>1163</v>
      </c>
      <c r="R436" s="240">
        <f t="shared" si="71"/>
        <v>45900</v>
      </c>
      <c r="U436" s="166" t="str">
        <f t="shared" si="70"/>
        <v>not clear</v>
      </c>
    </row>
    <row r="437" spans="3:21">
      <c r="C437" s="172" t="s">
        <v>1505</v>
      </c>
      <c r="D437" s="168">
        <v>850000</v>
      </c>
      <c r="E437" s="166" t="s">
        <v>1503</v>
      </c>
      <c r="H437" s="172" t="s">
        <v>606</v>
      </c>
      <c r="I437" s="168">
        <v>42500</v>
      </c>
      <c r="J437" s="221">
        <f t="shared" si="68"/>
        <v>7650</v>
      </c>
      <c r="Q437" s="166" t="s">
        <v>1163</v>
      </c>
      <c r="R437" s="240">
        <f t="shared" si="71"/>
        <v>45900</v>
      </c>
      <c r="U437" s="166" t="str">
        <f t="shared" si="70"/>
        <v>not clear</v>
      </c>
    </row>
    <row r="438" spans="3:21">
      <c r="C438" s="172" t="s">
        <v>1506</v>
      </c>
      <c r="D438" s="168">
        <v>750000</v>
      </c>
      <c r="E438" s="497" t="s">
        <v>1503</v>
      </c>
      <c r="H438" s="172" t="s">
        <v>653</v>
      </c>
      <c r="I438" s="168">
        <v>112500</v>
      </c>
      <c r="J438" s="221">
        <f t="shared" si="68"/>
        <v>20250</v>
      </c>
      <c r="Q438" s="166" t="s">
        <v>1124</v>
      </c>
      <c r="R438" s="240">
        <f t="shared" si="71"/>
        <v>121500</v>
      </c>
      <c r="U438" s="166" t="str">
        <f t="shared" si="70"/>
        <v>not clear</v>
      </c>
    </row>
    <row r="439" spans="3:21">
      <c r="C439" s="172" t="s">
        <v>1506</v>
      </c>
      <c r="D439" s="168">
        <v>750000</v>
      </c>
      <c r="E439" s="497" t="s">
        <v>1503</v>
      </c>
      <c r="H439" s="172" t="s">
        <v>551</v>
      </c>
      <c r="I439" s="168">
        <v>112500</v>
      </c>
      <c r="J439" s="221">
        <f t="shared" si="68"/>
        <v>20250</v>
      </c>
      <c r="Q439" s="166" t="s">
        <v>1124</v>
      </c>
      <c r="R439" s="240">
        <f t="shared" si="71"/>
        <v>121500</v>
      </c>
      <c r="U439" s="166" t="str">
        <f t="shared" si="70"/>
        <v>not clear</v>
      </c>
    </row>
    <row r="440" spans="3:21">
      <c r="C440" s="172" t="s">
        <v>1506</v>
      </c>
      <c r="D440" s="168">
        <v>750000</v>
      </c>
      <c r="E440" s="497" t="s">
        <v>1503</v>
      </c>
      <c r="H440" s="172" t="s">
        <v>399</v>
      </c>
      <c r="I440" s="168">
        <v>150000</v>
      </c>
      <c r="J440" s="166">
        <f t="shared" si="68"/>
        <v>27000</v>
      </c>
      <c r="Q440" s="166" t="s">
        <v>1124</v>
      </c>
      <c r="R440" s="422">
        <f t="shared" si="71"/>
        <v>162000</v>
      </c>
      <c r="U440" s="166" t="str">
        <f t="shared" si="70"/>
        <v>not clear</v>
      </c>
    </row>
    <row r="441" spans="3:21">
      <c r="C441" s="172" t="s">
        <v>1506</v>
      </c>
      <c r="D441" s="168">
        <v>750000</v>
      </c>
      <c r="E441" s="497" t="s">
        <v>1503</v>
      </c>
      <c r="H441" s="175" t="s">
        <v>571</v>
      </c>
      <c r="I441" s="168">
        <v>75000</v>
      </c>
      <c r="J441" s="166">
        <f t="shared" si="68"/>
        <v>13500</v>
      </c>
      <c r="Q441" s="166" t="s">
        <v>1124</v>
      </c>
      <c r="R441" s="422">
        <f t="shared" si="71"/>
        <v>81000</v>
      </c>
      <c r="U441" s="166" t="str">
        <f t="shared" si="70"/>
        <v>not clear</v>
      </c>
    </row>
    <row r="442" spans="3:21">
      <c r="C442" s="172" t="s">
        <v>1506</v>
      </c>
      <c r="D442" s="168">
        <v>750000</v>
      </c>
      <c r="E442" s="497" t="s">
        <v>1503</v>
      </c>
      <c r="H442" s="172" t="s">
        <v>598</v>
      </c>
      <c r="I442" s="168">
        <v>75000</v>
      </c>
      <c r="J442" s="440">
        <f t="shared" si="68"/>
        <v>13500</v>
      </c>
      <c r="Q442" s="166" t="s">
        <v>1124</v>
      </c>
      <c r="R442" s="422">
        <f t="shared" si="71"/>
        <v>81000</v>
      </c>
      <c r="U442" s="166" t="str">
        <f t="shared" si="70"/>
        <v>not clear</v>
      </c>
    </row>
    <row r="443" spans="3:21">
      <c r="C443" s="172" t="s">
        <v>1506</v>
      </c>
      <c r="D443" s="168">
        <v>750000</v>
      </c>
      <c r="E443" s="166" t="s">
        <v>1503</v>
      </c>
      <c r="H443" s="175" t="s">
        <v>896</v>
      </c>
      <c r="I443" s="168">
        <v>37500</v>
      </c>
      <c r="J443" s="166">
        <f t="shared" si="68"/>
        <v>6750</v>
      </c>
      <c r="Q443" s="166" t="s">
        <v>1163</v>
      </c>
      <c r="R443" s="241">
        <f t="shared" si="71"/>
        <v>40500</v>
      </c>
      <c r="U443" s="166" t="str">
        <f t="shared" si="70"/>
        <v>not clear</v>
      </c>
    </row>
    <row r="444" spans="3:21">
      <c r="C444" s="172" t="s">
        <v>1506</v>
      </c>
      <c r="D444" s="168">
        <v>750000</v>
      </c>
      <c r="E444" s="166" t="s">
        <v>1503</v>
      </c>
      <c r="H444" s="175" t="s">
        <v>606</v>
      </c>
      <c r="I444" s="168">
        <v>37500</v>
      </c>
      <c r="J444" s="166">
        <f t="shared" si="68"/>
        <v>6750</v>
      </c>
      <c r="Q444" s="166" t="s">
        <v>1163</v>
      </c>
      <c r="R444" s="241">
        <f t="shared" si="71"/>
        <v>40500</v>
      </c>
      <c r="U444" s="166" t="str">
        <f t="shared" si="70"/>
        <v>not clear</v>
      </c>
    </row>
    <row r="445" spans="3:21">
      <c r="C445" s="80" t="s">
        <v>1349</v>
      </c>
      <c r="D445" s="168">
        <v>100000</v>
      </c>
      <c r="E445" s="497" t="s">
        <v>1630</v>
      </c>
      <c r="H445" s="491" t="s">
        <v>598</v>
      </c>
      <c r="I445" s="168">
        <v>25000</v>
      </c>
      <c r="Q445" s="166" t="s">
        <v>1124</v>
      </c>
    </row>
    <row r="446" spans="3:21">
      <c r="C446" s="172" t="s">
        <v>1520</v>
      </c>
      <c r="D446" s="168">
        <v>800000</v>
      </c>
      <c r="H446" s="229" t="s">
        <v>598</v>
      </c>
      <c r="I446" s="168">
        <v>80000</v>
      </c>
      <c r="Q446" s="166" t="s">
        <v>1124</v>
      </c>
      <c r="R446" s="241">
        <f>I446+J446-(I446*0.1)</f>
        <v>72000</v>
      </c>
    </row>
    <row r="447" spans="3:21">
      <c r="C447" s="172" t="s">
        <v>1422</v>
      </c>
      <c r="D447" s="168">
        <v>1800000</v>
      </c>
      <c r="E447" s="497" t="s">
        <v>1423</v>
      </c>
      <c r="H447" s="175" t="s">
        <v>551</v>
      </c>
      <c r="I447" s="168">
        <f>1800000*0.15</f>
        <v>270000</v>
      </c>
      <c r="J447" s="166">
        <f>I447*0.18</f>
        <v>48600</v>
      </c>
      <c r="Q447" s="166" t="s">
        <v>1124</v>
      </c>
      <c r="R447" s="241">
        <f>I447+J447-(I447*0.1)</f>
        <v>291600</v>
      </c>
      <c r="U447" s="166" t="str">
        <f>IF(S447=R447, "clear", "not clear")</f>
        <v>not clear</v>
      </c>
    </row>
    <row r="448" spans="3:21">
      <c r="C448" s="172" t="s">
        <v>1520</v>
      </c>
      <c r="D448" s="168">
        <v>800000</v>
      </c>
      <c r="H448" s="398" t="s">
        <v>896</v>
      </c>
      <c r="I448" s="168">
        <v>40000</v>
      </c>
      <c r="Q448" s="166" t="s">
        <v>1124</v>
      </c>
      <c r="R448" s="241">
        <f t="shared" ref="R448:R461" si="72">I448+J448-(I448*0.1)</f>
        <v>36000</v>
      </c>
    </row>
    <row r="449" spans="3:20">
      <c r="C449" s="172" t="s">
        <v>1520</v>
      </c>
      <c r="D449" s="168">
        <v>800000</v>
      </c>
      <c r="H449" s="229" t="s">
        <v>606</v>
      </c>
      <c r="I449" s="168">
        <v>40000</v>
      </c>
      <c r="Q449" s="166" t="s">
        <v>1124</v>
      </c>
      <c r="R449" s="241">
        <f t="shared" si="72"/>
        <v>36000</v>
      </c>
    </row>
    <row r="450" spans="3:20">
      <c r="C450" s="172" t="s">
        <v>1442</v>
      </c>
      <c r="G450">
        <v>2526067</v>
      </c>
      <c r="H450" s="387" t="s">
        <v>1689</v>
      </c>
      <c r="I450" s="491">
        <v>32000</v>
      </c>
      <c r="J450">
        <f t="shared" ref="J450:J463" si="73">I450*0.18</f>
        <v>5760</v>
      </c>
      <c r="O450" t="s">
        <v>1644</v>
      </c>
      <c r="P450" t="s">
        <v>1145</v>
      </c>
      <c r="Q450" t="s">
        <v>1019</v>
      </c>
      <c r="R450">
        <f t="shared" si="72"/>
        <v>34560</v>
      </c>
    </row>
    <row r="451" spans="3:20">
      <c r="C451" s="172" t="s">
        <v>1442</v>
      </c>
      <c r="G451">
        <v>2526067</v>
      </c>
      <c r="H451" s="387" t="s">
        <v>1690</v>
      </c>
      <c r="I451" s="491">
        <v>32000</v>
      </c>
      <c r="J451">
        <f t="shared" si="73"/>
        <v>5760</v>
      </c>
      <c r="O451" t="s">
        <v>1644</v>
      </c>
      <c r="P451" t="s">
        <v>1145</v>
      </c>
      <c r="Q451" t="s">
        <v>1019</v>
      </c>
      <c r="R451">
        <f t="shared" si="72"/>
        <v>34560</v>
      </c>
    </row>
    <row r="452" spans="3:20">
      <c r="C452" s="172" t="s">
        <v>1442</v>
      </c>
      <c r="G452">
        <v>2526067</v>
      </c>
      <c r="H452" s="387" t="s">
        <v>1691</v>
      </c>
      <c r="I452" s="491">
        <v>32000</v>
      </c>
      <c r="J452">
        <f t="shared" si="73"/>
        <v>5760</v>
      </c>
      <c r="O452" t="s">
        <v>1644</v>
      </c>
      <c r="P452" t="s">
        <v>1145</v>
      </c>
      <c r="Q452" t="s">
        <v>1019</v>
      </c>
      <c r="R452">
        <f t="shared" si="72"/>
        <v>34560</v>
      </c>
    </row>
    <row r="453" spans="3:20">
      <c r="C453" s="172" t="s">
        <v>1442</v>
      </c>
      <c r="G453">
        <v>2526067</v>
      </c>
      <c r="H453" s="387" t="s">
        <v>1692</v>
      </c>
      <c r="I453" s="491">
        <v>24000</v>
      </c>
      <c r="J453">
        <f t="shared" si="73"/>
        <v>4320</v>
      </c>
      <c r="O453" t="s">
        <v>1644</v>
      </c>
      <c r="P453" t="s">
        <v>1145</v>
      </c>
      <c r="Q453" t="s">
        <v>1019</v>
      </c>
      <c r="R453">
        <f t="shared" si="72"/>
        <v>25920</v>
      </c>
    </row>
    <row r="454" spans="3:20">
      <c r="C454" s="172" t="s">
        <v>1442</v>
      </c>
      <c r="G454">
        <v>2526067</v>
      </c>
      <c r="H454" s="387" t="s">
        <v>1693</v>
      </c>
      <c r="I454" s="491">
        <v>16000</v>
      </c>
      <c r="J454">
        <f t="shared" si="73"/>
        <v>2880</v>
      </c>
      <c r="O454" t="s">
        <v>1644</v>
      </c>
      <c r="P454" t="s">
        <v>1145</v>
      </c>
      <c r="Q454" t="s">
        <v>1019</v>
      </c>
      <c r="R454">
        <f t="shared" si="72"/>
        <v>17280</v>
      </c>
    </row>
    <row r="455" spans="3:20">
      <c r="C455" s="172" t="s">
        <v>1442</v>
      </c>
      <c r="G455">
        <v>2526067</v>
      </c>
      <c r="H455" s="387" t="s">
        <v>1694</v>
      </c>
      <c r="I455" s="491">
        <v>16000</v>
      </c>
      <c r="J455">
        <f t="shared" si="73"/>
        <v>2880</v>
      </c>
      <c r="O455" t="s">
        <v>1644</v>
      </c>
      <c r="P455" t="s">
        <v>1145</v>
      </c>
      <c r="Q455" t="s">
        <v>1019</v>
      </c>
      <c r="R455" s="241">
        <f t="shared" si="72"/>
        <v>17280</v>
      </c>
      <c r="S455" s="241">
        <v>39873.599999999999</v>
      </c>
      <c r="T455" s="166" t="s">
        <v>1524</v>
      </c>
    </row>
    <row r="456" spans="3:20">
      <c r="C456" s="172" t="s">
        <v>1442</v>
      </c>
      <c r="G456">
        <v>2526067</v>
      </c>
      <c r="H456" s="387" t="s">
        <v>1695</v>
      </c>
      <c r="I456" s="491">
        <v>8000</v>
      </c>
      <c r="J456">
        <f t="shared" si="73"/>
        <v>1440</v>
      </c>
      <c r="O456" t="s">
        <v>1644</v>
      </c>
      <c r="P456" t="s">
        <v>1145</v>
      </c>
      <c r="Q456" t="s">
        <v>1019</v>
      </c>
      <c r="R456">
        <f t="shared" si="72"/>
        <v>8640</v>
      </c>
      <c r="S456" s="241">
        <v>14126.4</v>
      </c>
      <c r="T456" s="166" t="s">
        <v>1524</v>
      </c>
    </row>
    <row r="457" spans="3:20">
      <c r="C457" s="172" t="s">
        <v>1442</v>
      </c>
      <c r="G457">
        <v>2526067</v>
      </c>
      <c r="H457" s="387" t="s">
        <v>1696</v>
      </c>
      <c r="I457" s="491">
        <v>108000</v>
      </c>
      <c r="J457">
        <f t="shared" si="73"/>
        <v>19440</v>
      </c>
      <c r="O457" t="s">
        <v>1644</v>
      </c>
      <c r="P457" t="s">
        <v>1145</v>
      </c>
      <c r="Q457" t="s">
        <v>1019</v>
      </c>
      <c r="R457">
        <f t="shared" si="72"/>
        <v>116640</v>
      </c>
    </row>
    <row r="458" spans="3:20">
      <c r="C458" s="172" t="s">
        <v>1442</v>
      </c>
      <c r="G458">
        <v>2526067</v>
      </c>
      <c r="H458" s="387" t="s">
        <v>1697</v>
      </c>
      <c r="I458" s="491">
        <v>108000</v>
      </c>
      <c r="J458">
        <f t="shared" si="73"/>
        <v>19440</v>
      </c>
      <c r="O458" t="s">
        <v>1644</v>
      </c>
      <c r="P458" t="s">
        <v>1145</v>
      </c>
      <c r="Q458" t="s">
        <v>1019</v>
      </c>
      <c r="R458">
        <f t="shared" si="72"/>
        <v>116640</v>
      </c>
    </row>
    <row r="459" spans="3:20">
      <c r="C459" s="172" t="s">
        <v>1442</v>
      </c>
      <c r="G459">
        <v>2526067</v>
      </c>
      <c r="H459" s="387" t="s">
        <v>1698</v>
      </c>
      <c r="I459" s="491">
        <v>108000</v>
      </c>
      <c r="J459">
        <f t="shared" si="73"/>
        <v>19440</v>
      </c>
      <c r="O459" t="s">
        <v>1644</v>
      </c>
      <c r="P459" t="s">
        <v>1145</v>
      </c>
      <c r="Q459" t="s">
        <v>1019</v>
      </c>
      <c r="R459">
        <f t="shared" si="72"/>
        <v>116640</v>
      </c>
    </row>
    <row r="460" spans="3:20">
      <c r="C460" s="172" t="s">
        <v>1442</v>
      </c>
      <c r="G460"/>
      <c r="H460" s="387" t="s">
        <v>1699</v>
      </c>
      <c r="I460" s="491">
        <v>81000</v>
      </c>
      <c r="J460" s="491">
        <f t="shared" si="73"/>
        <v>14580</v>
      </c>
      <c r="O460"/>
      <c r="P460"/>
      <c r="Q460" t="s">
        <v>1124</v>
      </c>
      <c r="R460" s="491">
        <f t="shared" si="72"/>
        <v>87480</v>
      </c>
    </row>
    <row r="461" spans="3:20">
      <c r="C461" s="172" t="s">
        <v>1442</v>
      </c>
      <c r="G461"/>
      <c r="H461" s="387" t="s">
        <v>1700</v>
      </c>
      <c r="I461" s="491">
        <v>54000</v>
      </c>
      <c r="J461" s="491">
        <f t="shared" si="73"/>
        <v>9720</v>
      </c>
      <c r="O461"/>
      <c r="P461"/>
      <c r="Q461" t="s">
        <v>1124</v>
      </c>
      <c r="R461" s="491">
        <f t="shared" si="72"/>
        <v>58320</v>
      </c>
    </row>
    <row r="462" spans="3:20">
      <c r="C462" s="172" t="s">
        <v>1442</v>
      </c>
      <c r="H462" s="387" t="s">
        <v>1701</v>
      </c>
      <c r="I462" s="491">
        <v>54000</v>
      </c>
      <c r="J462" s="491">
        <f t="shared" si="73"/>
        <v>9720</v>
      </c>
      <c r="Q462" t="s">
        <v>1124</v>
      </c>
    </row>
    <row r="463" spans="3:20">
      <c r="C463" s="172" t="s">
        <v>1442</v>
      </c>
      <c r="H463" s="387" t="s">
        <v>1702</v>
      </c>
      <c r="I463" s="491">
        <v>27000</v>
      </c>
      <c r="J463" s="491">
        <f t="shared" si="73"/>
        <v>4860</v>
      </c>
      <c r="Q463" t="s">
        <v>1124</v>
      </c>
    </row>
  </sheetData>
  <autoFilter ref="A1:X463" xr:uid="{00000000-0001-0000-0000-000000000000}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86"/>
  <sheetViews>
    <sheetView tabSelected="1" zoomScale="88" zoomScaleNormal="145" workbookViewId="0">
      <pane xSplit="6" ySplit="2" topLeftCell="G158" activePane="bottomRight" state="frozen"/>
      <selection pane="topRight" activeCell="F1" sqref="F1"/>
      <selection pane="bottomLeft" activeCell="A3" sqref="A3"/>
      <selection pane="bottomRight" activeCell="A3" sqref="A3:XFD696"/>
    </sheetView>
  </sheetViews>
  <sheetFormatPr defaultColWidth="14.3984375" defaultRowHeight="14.25"/>
  <cols>
    <col min="1" max="1" width="10" style="246" customWidth="1"/>
    <col min="2" max="2" width="23.86328125" style="246" customWidth="1"/>
    <col min="3" max="3" width="12.59765625" style="246" customWidth="1"/>
    <col min="4" max="4" width="3.73046875" style="246" customWidth="1"/>
    <col min="5" max="5" width="10.86328125" style="246" customWidth="1"/>
    <col min="6" max="6" width="65.59765625" style="246" customWidth="1"/>
    <col min="7" max="7" width="13.3984375" style="246" customWidth="1"/>
    <col min="8" max="8" width="12" style="246" customWidth="1"/>
    <col min="9" max="9" width="10.265625" style="246" hidden="1" customWidth="1"/>
    <col min="10" max="10" width="10.3984375" style="246" hidden="1" customWidth="1"/>
    <col min="11" max="11" width="18" style="246" hidden="1" customWidth="1"/>
    <col min="12" max="12" width="13.73046875" style="246" hidden="1" customWidth="1"/>
    <col min="13" max="13" width="15.1328125" style="246" hidden="1" customWidth="1"/>
    <col min="14" max="14" width="13.1328125" style="246" hidden="1" customWidth="1"/>
    <col min="15" max="15" width="34" style="246" hidden="1" customWidth="1"/>
    <col min="16" max="16" width="13.3984375" style="246" customWidth="1"/>
    <col min="17" max="17" width="3.265625" style="246" customWidth="1"/>
    <col min="18" max="20" width="13.3984375" style="246" customWidth="1"/>
    <col min="21" max="21" width="17.3984375" style="246" customWidth="1"/>
    <col min="22" max="22" width="13.73046875" style="246" customWidth="1"/>
    <col min="23" max="23" width="13.59765625" style="246" customWidth="1"/>
    <col min="24" max="24" width="13.1328125" style="246" hidden="1" customWidth="1"/>
    <col min="25" max="25" width="17.265625" style="246" customWidth="1"/>
    <col min="26" max="26" width="10.73046875" style="246" customWidth="1"/>
    <col min="27" max="27" width="33.3984375" style="246" customWidth="1"/>
    <col min="28" max="28" width="11.59765625" style="246" customWidth="1"/>
    <col min="29" max="29" width="60.265625" style="246" customWidth="1"/>
    <col min="30" max="31" width="11.86328125" style="246" customWidth="1"/>
    <col min="32" max="39" width="14.3984375" style="246" customWidth="1"/>
    <col min="40" max="16384" width="14.3984375" style="246"/>
  </cols>
  <sheetData>
    <row r="1" spans="1:32">
      <c r="R1" s="513" t="s">
        <v>0</v>
      </c>
      <c r="S1" s="514"/>
      <c r="T1" s="438"/>
      <c r="Z1" s="246" t="e">
        <f>SUM(Z3:Z151)</f>
        <v>#VALUE!</v>
      </c>
    </row>
    <row r="2" spans="1:32" ht="75.75" customHeight="1">
      <c r="B2" s="247" t="s">
        <v>1</v>
      </c>
      <c r="C2" s="368" t="s">
        <v>2</v>
      </c>
      <c r="D2" s="247" t="s">
        <v>3</v>
      </c>
      <c r="E2" s="247" t="s">
        <v>4</v>
      </c>
      <c r="F2" s="247" t="s">
        <v>5</v>
      </c>
      <c r="G2" s="247" t="s">
        <v>6</v>
      </c>
      <c r="H2" s="247" t="s">
        <v>7</v>
      </c>
      <c r="I2" s="247" t="s">
        <v>8</v>
      </c>
      <c r="J2" s="247"/>
      <c r="K2" s="247" t="s">
        <v>9</v>
      </c>
      <c r="L2" s="247" t="s">
        <v>10</v>
      </c>
      <c r="M2" s="247" t="s">
        <v>11</v>
      </c>
      <c r="N2" s="247" t="s">
        <v>12</v>
      </c>
      <c r="O2" s="247" t="s">
        <v>13</v>
      </c>
      <c r="P2" s="247" t="s">
        <v>14</v>
      </c>
      <c r="Q2" s="247"/>
      <c r="R2" s="247" t="s">
        <v>15</v>
      </c>
      <c r="S2" s="247" t="s">
        <v>16</v>
      </c>
      <c r="T2" s="247" t="s">
        <v>17</v>
      </c>
      <c r="U2" s="247" t="s">
        <v>18</v>
      </c>
      <c r="V2" s="247" t="s">
        <v>19</v>
      </c>
      <c r="W2" s="247" t="s">
        <v>20</v>
      </c>
      <c r="X2" s="247" t="s">
        <v>21</v>
      </c>
      <c r="Y2" s="247" t="s">
        <v>22</v>
      </c>
      <c r="Z2" s="247" t="s">
        <v>23</v>
      </c>
      <c r="AA2" s="247" t="s">
        <v>24</v>
      </c>
      <c r="AB2" s="247" t="s">
        <v>25</v>
      </c>
      <c r="AC2" s="247" t="s">
        <v>26</v>
      </c>
      <c r="AD2" s="247" t="s">
        <v>27</v>
      </c>
      <c r="AE2" s="247" t="s">
        <v>28</v>
      </c>
      <c r="AF2" s="247" t="s">
        <v>29</v>
      </c>
    </row>
    <row r="3" spans="1:32">
      <c r="A3" s="246" t="s">
        <v>35</v>
      </c>
      <c r="B3" s="246" t="s">
        <v>36</v>
      </c>
      <c r="E3" s="248">
        <v>10003</v>
      </c>
      <c r="F3" s="246" t="s">
        <v>37</v>
      </c>
      <c r="G3" s="246">
        <v>587500</v>
      </c>
      <c r="H3" s="246">
        <f t="shared" ref="H3:H13" si="0">G3*0.1236</f>
        <v>72615</v>
      </c>
      <c r="I3" s="246">
        <f t="shared" ref="I3:I13" si="1">G3*0.1</f>
        <v>58750</v>
      </c>
      <c r="L3" s="246">
        <v>0</v>
      </c>
      <c r="M3" s="246">
        <v>0</v>
      </c>
      <c r="N3" s="246">
        <v>43569</v>
      </c>
      <c r="O3" s="246" t="s">
        <v>32</v>
      </c>
      <c r="P3" s="246">
        <v>703684</v>
      </c>
      <c r="U3" s="246" t="s">
        <v>38</v>
      </c>
      <c r="V3" s="246">
        <f t="shared" ref="V3:V5" si="2">G3+H3-I3+N3</f>
        <v>644934</v>
      </c>
      <c r="W3" s="246">
        <v>486441</v>
      </c>
      <c r="Y3" s="246" t="s">
        <v>39</v>
      </c>
      <c r="Z3" s="246">
        <f t="shared" ref="Z3:Z5" si="3">V3-W3</f>
        <v>158493</v>
      </c>
      <c r="AA3" s="249" t="s">
        <v>40</v>
      </c>
      <c r="AC3" s="246" t="s">
        <v>34</v>
      </c>
    </row>
    <row r="4" spans="1:32">
      <c r="A4" s="246" t="s">
        <v>35</v>
      </c>
      <c r="B4" s="246" t="s">
        <v>44</v>
      </c>
      <c r="C4" s="246" t="s">
        <v>45</v>
      </c>
      <c r="E4" s="246">
        <v>10008</v>
      </c>
      <c r="F4" s="246" t="s">
        <v>46</v>
      </c>
      <c r="G4" s="246">
        <v>115000</v>
      </c>
      <c r="H4" s="246">
        <f t="shared" si="0"/>
        <v>14214</v>
      </c>
      <c r="I4" s="246">
        <f t="shared" si="1"/>
        <v>11500</v>
      </c>
      <c r="L4" s="246">
        <v>0</v>
      </c>
      <c r="M4" s="246">
        <v>0</v>
      </c>
      <c r="N4" s="246">
        <v>0</v>
      </c>
      <c r="O4" s="246" t="s">
        <v>32</v>
      </c>
      <c r="P4" s="246">
        <v>129214</v>
      </c>
      <c r="U4" s="246" t="s">
        <v>47</v>
      </c>
      <c r="V4" s="246">
        <f t="shared" si="2"/>
        <v>117714</v>
      </c>
      <c r="W4" s="246">
        <v>0</v>
      </c>
      <c r="Z4" s="246">
        <f t="shared" si="3"/>
        <v>117714</v>
      </c>
    </row>
    <row r="5" spans="1:32">
      <c r="A5" s="246" t="s">
        <v>35</v>
      </c>
      <c r="B5" s="246" t="s">
        <v>48</v>
      </c>
      <c r="E5" s="246">
        <v>10009</v>
      </c>
      <c r="F5" s="246" t="s">
        <v>49</v>
      </c>
      <c r="G5" s="246">
        <v>85000</v>
      </c>
      <c r="H5" s="246">
        <f t="shared" si="0"/>
        <v>10506</v>
      </c>
      <c r="I5" s="246">
        <f t="shared" si="1"/>
        <v>8500</v>
      </c>
      <c r="L5" s="246">
        <v>0</v>
      </c>
      <c r="M5" s="246">
        <v>0</v>
      </c>
      <c r="N5" s="246">
        <v>0</v>
      </c>
      <c r="O5" s="246" t="s">
        <v>32</v>
      </c>
      <c r="P5" s="246">
        <v>95506</v>
      </c>
      <c r="U5" s="246" t="s">
        <v>50</v>
      </c>
      <c r="V5" s="246">
        <f t="shared" si="2"/>
        <v>87006</v>
      </c>
      <c r="Z5" s="246">
        <f t="shared" si="3"/>
        <v>87006</v>
      </c>
    </row>
    <row r="6" spans="1:32">
      <c r="A6" s="246" t="s">
        <v>35</v>
      </c>
      <c r="B6" s="246" t="s">
        <v>48</v>
      </c>
      <c r="E6" s="246">
        <v>10010</v>
      </c>
      <c r="F6" s="246" t="s">
        <v>52</v>
      </c>
      <c r="G6" s="246">
        <v>21250</v>
      </c>
      <c r="H6" s="246">
        <f t="shared" si="0"/>
        <v>2626.5</v>
      </c>
      <c r="I6" s="246">
        <f t="shared" si="1"/>
        <v>2125</v>
      </c>
      <c r="L6" s="246">
        <v>0</v>
      </c>
      <c r="M6" s="246">
        <v>0</v>
      </c>
      <c r="N6" s="246">
        <v>0</v>
      </c>
      <c r="O6" s="246" t="s">
        <v>32</v>
      </c>
      <c r="P6" s="246">
        <v>23876</v>
      </c>
      <c r="U6" s="246" t="s">
        <v>53</v>
      </c>
      <c r="V6" s="246">
        <f t="shared" ref="V6:V21" si="4">G6+H6-I6+N6</f>
        <v>21751.5</v>
      </c>
      <c r="Z6" s="246">
        <f t="shared" ref="Z6:Z15" si="5">V6-W6</f>
        <v>21751.5</v>
      </c>
    </row>
    <row r="7" spans="1:32">
      <c r="A7" s="246" t="s">
        <v>35</v>
      </c>
      <c r="B7" s="246" t="s">
        <v>48</v>
      </c>
      <c r="E7" s="246">
        <v>10011</v>
      </c>
      <c r="F7" s="246" t="s">
        <v>54</v>
      </c>
      <c r="G7" s="246">
        <v>42500</v>
      </c>
      <c r="H7" s="246">
        <f t="shared" si="0"/>
        <v>5253</v>
      </c>
      <c r="I7" s="246">
        <f t="shared" si="1"/>
        <v>4250</v>
      </c>
      <c r="L7" s="246">
        <v>0</v>
      </c>
      <c r="M7" s="246">
        <v>0</v>
      </c>
      <c r="N7" s="246">
        <v>0</v>
      </c>
      <c r="O7" s="246" t="s">
        <v>32</v>
      </c>
      <c r="P7" s="246">
        <v>47753</v>
      </c>
      <c r="U7" s="246" t="s">
        <v>55</v>
      </c>
      <c r="V7" s="246">
        <f t="shared" si="4"/>
        <v>43503</v>
      </c>
      <c r="Z7" s="246">
        <f t="shared" si="5"/>
        <v>43503</v>
      </c>
    </row>
    <row r="8" spans="1:32">
      <c r="A8" s="246" t="s">
        <v>35</v>
      </c>
      <c r="B8" s="246" t="s">
        <v>48</v>
      </c>
      <c r="E8" s="246">
        <v>10012</v>
      </c>
      <c r="F8" s="246" t="s">
        <v>56</v>
      </c>
      <c r="G8" s="246">
        <v>42500</v>
      </c>
      <c r="H8" s="246">
        <f t="shared" si="0"/>
        <v>5253</v>
      </c>
      <c r="I8" s="246">
        <f t="shared" si="1"/>
        <v>4250</v>
      </c>
      <c r="L8" s="246">
        <v>0</v>
      </c>
      <c r="M8" s="246">
        <v>0</v>
      </c>
      <c r="N8" s="246">
        <v>0</v>
      </c>
      <c r="O8" s="246" t="s">
        <v>32</v>
      </c>
      <c r="P8" s="246">
        <v>47753</v>
      </c>
      <c r="U8" s="246" t="s">
        <v>57</v>
      </c>
      <c r="V8" s="246">
        <f t="shared" si="4"/>
        <v>43503</v>
      </c>
      <c r="Z8" s="246">
        <f t="shared" si="5"/>
        <v>43503</v>
      </c>
    </row>
    <row r="9" spans="1:32">
      <c r="A9" s="246" t="s">
        <v>35</v>
      </c>
      <c r="B9" s="246" t="s">
        <v>58</v>
      </c>
      <c r="E9" s="246">
        <v>10013</v>
      </c>
      <c r="F9" s="246" t="s">
        <v>56</v>
      </c>
      <c r="G9" s="246">
        <v>63750</v>
      </c>
      <c r="H9" s="246">
        <f t="shared" si="0"/>
        <v>7879.5</v>
      </c>
      <c r="I9" s="246">
        <f t="shared" si="1"/>
        <v>6375</v>
      </c>
      <c r="L9" s="246">
        <v>0</v>
      </c>
      <c r="M9" s="246">
        <v>0</v>
      </c>
      <c r="N9" s="246">
        <v>0</v>
      </c>
      <c r="O9" s="246" t="s">
        <v>32</v>
      </c>
      <c r="P9" s="246">
        <v>71629</v>
      </c>
      <c r="U9" s="246" t="s">
        <v>59</v>
      </c>
      <c r="V9" s="246">
        <f t="shared" si="4"/>
        <v>65254.5</v>
      </c>
      <c r="Z9" s="246">
        <f t="shared" si="5"/>
        <v>65254.5</v>
      </c>
    </row>
    <row r="10" spans="1:32">
      <c r="A10" s="246" t="s">
        <v>35</v>
      </c>
      <c r="B10" s="246" t="s">
        <v>58</v>
      </c>
      <c r="E10" s="246">
        <v>10014</v>
      </c>
      <c r="F10" s="246" t="s">
        <v>60</v>
      </c>
      <c r="G10" s="246">
        <v>85000</v>
      </c>
      <c r="H10" s="246">
        <f t="shared" si="0"/>
        <v>10506</v>
      </c>
      <c r="I10" s="246">
        <f t="shared" si="1"/>
        <v>8500</v>
      </c>
      <c r="L10" s="246">
        <v>0</v>
      </c>
      <c r="M10" s="246">
        <v>0</v>
      </c>
      <c r="N10" s="246">
        <v>0</v>
      </c>
      <c r="O10" s="246" t="s">
        <v>32</v>
      </c>
      <c r="P10" s="246">
        <v>95506</v>
      </c>
      <c r="U10" s="246" t="s">
        <v>61</v>
      </c>
      <c r="V10" s="246">
        <f t="shared" si="4"/>
        <v>87006</v>
      </c>
      <c r="Z10" s="246">
        <f t="shared" si="5"/>
        <v>87006</v>
      </c>
    </row>
    <row r="11" spans="1:32">
      <c r="A11" s="246" t="s">
        <v>35</v>
      </c>
      <c r="B11" s="246" t="s">
        <v>58</v>
      </c>
      <c r="E11" s="246">
        <v>10015</v>
      </c>
      <c r="F11" s="246" t="s">
        <v>62</v>
      </c>
      <c r="G11" s="246">
        <v>21250</v>
      </c>
      <c r="H11" s="246">
        <f t="shared" si="0"/>
        <v>2626.5</v>
      </c>
      <c r="I11" s="246">
        <f t="shared" si="1"/>
        <v>2125</v>
      </c>
      <c r="L11" s="246">
        <v>0</v>
      </c>
      <c r="M11" s="246">
        <v>0</v>
      </c>
      <c r="N11" s="246">
        <v>0</v>
      </c>
      <c r="O11" s="246" t="s">
        <v>32</v>
      </c>
      <c r="P11" s="246">
        <v>23876</v>
      </c>
      <c r="U11" s="246" t="s">
        <v>63</v>
      </c>
      <c r="V11" s="246">
        <f t="shared" si="4"/>
        <v>21751.5</v>
      </c>
      <c r="Z11" s="246">
        <f t="shared" si="5"/>
        <v>21751.5</v>
      </c>
      <c r="AC11" s="246" t="s">
        <v>64</v>
      </c>
    </row>
    <row r="12" spans="1:32">
      <c r="A12" s="246" t="s">
        <v>35</v>
      </c>
      <c r="B12" s="246" t="s">
        <v>58</v>
      </c>
      <c r="E12" s="246">
        <v>10016</v>
      </c>
      <c r="F12" s="246" t="s">
        <v>54</v>
      </c>
      <c r="G12" s="246">
        <v>42500</v>
      </c>
      <c r="H12" s="246">
        <f t="shared" si="0"/>
        <v>5253</v>
      </c>
      <c r="I12" s="246">
        <f t="shared" si="1"/>
        <v>4250</v>
      </c>
      <c r="L12" s="246">
        <v>0</v>
      </c>
      <c r="M12" s="246">
        <v>0</v>
      </c>
      <c r="N12" s="246">
        <v>0</v>
      </c>
      <c r="O12" s="246" t="s">
        <v>32</v>
      </c>
      <c r="P12" s="246">
        <v>47753</v>
      </c>
      <c r="U12" s="246" t="s">
        <v>65</v>
      </c>
      <c r="V12" s="246">
        <f t="shared" si="4"/>
        <v>43503</v>
      </c>
      <c r="Z12" s="246">
        <f t="shared" si="5"/>
        <v>43503</v>
      </c>
    </row>
    <row r="13" spans="1:32">
      <c r="A13" s="246" t="s">
        <v>35</v>
      </c>
      <c r="B13" s="246" t="s">
        <v>58</v>
      </c>
      <c r="E13" s="246">
        <v>10017</v>
      </c>
      <c r="F13" s="246" t="s">
        <v>56</v>
      </c>
      <c r="G13" s="246">
        <v>42500</v>
      </c>
      <c r="H13" s="246">
        <f t="shared" si="0"/>
        <v>5253</v>
      </c>
      <c r="I13" s="246">
        <f t="shared" si="1"/>
        <v>4250</v>
      </c>
      <c r="L13" s="246">
        <v>0</v>
      </c>
      <c r="M13" s="246">
        <v>0</v>
      </c>
      <c r="N13" s="246">
        <v>0</v>
      </c>
      <c r="O13" s="246" t="s">
        <v>32</v>
      </c>
      <c r="P13" s="246">
        <v>47753</v>
      </c>
      <c r="U13" s="246" t="s">
        <v>66</v>
      </c>
      <c r="V13" s="246">
        <f t="shared" si="4"/>
        <v>43503</v>
      </c>
      <c r="Z13" s="246">
        <f t="shared" si="5"/>
        <v>43503</v>
      </c>
      <c r="AC13" s="246" t="s">
        <v>67</v>
      </c>
    </row>
    <row r="14" spans="1:32">
      <c r="A14" s="246" t="s">
        <v>35</v>
      </c>
      <c r="B14" s="246" t="s">
        <v>44</v>
      </c>
      <c r="C14" s="246" t="s">
        <v>45</v>
      </c>
      <c r="E14" s="246">
        <v>10019</v>
      </c>
      <c r="F14" s="246" t="s">
        <v>68</v>
      </c>
      <c r="G14" s="246">
        <v>61865</v>
      </c>
      <c r="H14" s="246">
        <v>0</v>
      </c>
      <c r="I14" s="246">
        <v>0</v>
      </c>
      <c r="L14" s="246">
        <v>0</v>
      </c>
      <c r="M14" s="246">
        <v>0</v>
      </c>
      <c r="N14" s="246">
        <v>0</v>
      </c>
      <c r="O14" s="246" t="s">
        <v>69</v>
      </c>
      <c r="P14" s="246">
        <v>61865</v>
      </c>
      <c r="U14" s="246" t="s">
        <v>70</v>
      </c>
      <c r="V14" s="246">
        <f t="shared" si="4"/>
        <v>61865</v>
      </c>
      <c r="W14" s="246">
        <v>61865</v>
      </c>
      <c r="Y14" s="246" t="s">
        <v>71</v>
      </c>
      <c r="Z14" s="246">
        <f t="shared" si="5"/>
        <v>0</v>
      </c>
      <c r="AC14" s="246" t="s">
        <v>42</v>
      </c>
    </row>
    <row r="15" spans="1:32">
      <c r="A15" s="246" t="s">
        <v>35</v>
      </c>
      <c r="B15" s="246" t="s">
        <v>72</v>
      </c>
      <c r="C15" s="246" t="s">
        <v>45</v>
      </c>
      <c r="E15" s="246">
        <v>10020</v>
      </c>
      <c r="F15" s="246" t="s">
        <v>73</v>
      </c>
      <c r="G15" s="246">
        <v>314400</v>
      </c>
      <c r="H15" s="246">
        <f t="shared" ref="H15:H20" si="6">G15*0.1236</f>
        <v>38859.840000000004</v>
      </c>
      <c r="I15" s="246">
        <f t="shared" ref="I15:I20" si="7">G15*0.1</f>
        <v>31440</v>
      </c>
      <c r="L15" s="246">
        <v>0</v>
      </c>
      <c r="M15" s="246">
        <v>0</v>
      </c>
      <c r="N15" s="246">
        <v>0</v>
      </c>
      <c r="O15" s="246" t="s">
        <v>32</v>
      </c>
      <c r="P15" s="246">
        <v>353259</v>
      </c>
      <c r="U15" s="246" t="s">
        <v>74</v>
      </c>
      <c r="V15" s="246">
        <f t="shared" si="4"/>
        <v>321819.84000000003</v>
      </c>
      <c r="W15" s="246">
        <v>353259</v>
      </c>
      <c r="Z15" s="246">
        <f t="shared" si="5"/>
        <v>-31439.159999999974</v>
      </c>
      <c r="AC15" s="246" t="s">
        <v>42</v>
      </c>
    </row>
    <row r="16" spans="1:32">
      <c r="A16" s="246" t="s">
        <v>35</v>
      </c>
      <c r="B16" s="251" t="s">
        <v>75</v>
      </c>
      <c r="C16" s="251"/>
      <c r="D16" s="251"/>
      <c r="E16" s="251">
        <v>10021</v>
      </c>
      <c r="F16" s="251" t="s">
        <v>76</v>
      </c>
      <c r="G16" s="251" t="s">
        <v>77</v>
      </c>
      <c r="H16" s="251" t="e">
        <f t="shared" si="6"/>
        <v>#VALUE!</v>
      </c>
      <c r="I16" s="251" t="e">
        <f t="shared" si="7"/>
        <v>#VALUE!</v>
      </c>
      <c r="J16" s="251"/>
      <c r="K16" s="251"/>
      <c r="L16" s="251">
        <v>0</v>
      </c>
      <c r="M16" s="251">
        <v>0</v>
      </c>
      <c r="N16" s="251">
        <v>0</v>
      </c>
      <c r="O16" s="251" t="s">
        <v>32</v>
      </c>
      <c r="P16" s="251" t="s">
        <v>78</v>
      </c>
      <c r="Q16" s="251"/>
      <c r="R16" s="251"/>
      <c r="S16" s="251"/>
      <c r="T16" s="251"/>
      <c r="U16" s="251" t="s">
        <v>79</v>
      </c>
      <c r="V16" s="251" t="e">
        <f t="shared" si="4"/>
        <v>#VALUE!</v>
      </c>
      <c r="W16" s="251" t="s">
        <v>80</v>
      </c>
      <c r="X16" s="251"/>
      <c r="Y16" s="251" t="s">
        <v>81</v>
      </c>
      <c r="Z16" s="251" t="e">
        <f>V16-Y16</f>
        <v>#VALUE!</v>
      </c>
      <c r="AC16" s="251" t="s">
        <v>82</v>
      </c>
      <c r="AD16" s="251"/>
      <c r="AE16" s="251"/>
      <c r="AF16" s="251" t="s">
        <v>83</v>
      </c>
    </row>
    <row r="17" spans="1:32">
      <c r="A17" s="246" t="s">
        <v>35</v>
      </c>
      <c r="B17" s="252" t="s">
        <v>84</v>
      </c>
      <c r="C17" s="252"/>
      <c r="D17" s="252"/>
      <c r="E17" s="246">
        <v>10023</v>
      </c>
      <c r="F17" s="246" t="s">
        <v>85</v>
      </c>
      <c r="G17" s="246">
        <v>400000</v>
      </c>
      <c r="H17" s="246">
        <f t="shared" si="6"/>
        <v>49440</v>
      </c>
      <c r="I17" s="246">
        <f t="shared" si="7"/>
        <v>40000</v>
      </c>
      <c r="L17" s="246">
        <v>0</v>
      </c>
      <c r="M17" s="246">
        <v>0</v>
      </c>
      <c r="N17" s="246">
        <v>0</v>
      </c>
      <c r="O17" s="246" t="s">
        <v>32</v>
      </c>
      <c r="P17" s="246">
        <v>449440</v>
      </c>
      <c r="U17" s="246" t="s">
        <v>86</v>
      </c>
      <c r="V17" s="246">
        <f t="shared" si="4"/>
        <v>409440</v>
      </c>
      <c r="Z17" s="246">
        <f t="shared" ref="Z17:Z21" si="8">V17-W17</f>
        <v>409440</v>
      </c>
      <c r="AA17" s="246" t="s">
        <v>87</v>
      </c>
      <c r="AC17" s="246" t="s">
        <v>64</v>
      </c>
    </row>
    <row r="18" spans="1:32">
      <c r="A18" s="246" t="s">
        <v>35</v>
      </c>
      <c r="B18" s="246" t="s">
        <v>88</v>
      </c>
      <c r="C18" s="246" t="s">
        <v>45</v>
      </c>
      <c r="E18" s="246">
        <v>10025</v>
      </c>
      <c r="F18" s="246" t="s">
        <v>89</v>
      </c>
      <c r="G18" s="246">
        <v>225000</v>
      </c>
      <c r="H18" s="246">
        <f t="shared" si="6"/>
        <v>27810</v>
      </c>
      <c r="I18" s="246">
        <f t="shared" si="7"/>
        <v>22500</v>
      </c>
      <c r="L18" s="246">
        <v>0</v>
      </c>
      <c r="M18" s="246">
        <v>0</v>
      </c>
      <c r="N18" s="246">
        <v>0</v>
      </c>
      <c r="O18" s="246" t="s">
        <v>32</v>
      </c>
      <c r="P18" s="246">
        <v>252810</v>
      </c>
      <c r="U18" s="246" t="s">
        <v>90</v>
      </c>
      <c r="V18" s="246">
        <f t="shared" si="4"/>
        <v>230310</v>
      </c>
      <c r="W18" s="246">
        <v>0</v>
      </c>
      <c r="Z18" s="246">
        <f t="shared" si="8"/>
        <v>230310</v>
      </c>
    </row>
    <row r="19" spans="1:32">
      <c r="A19" s="246" t="s">
        <v>35</v>
      </c>
      <c r="B19" s="246" t="s">
        <v>72</v>
      </c>
      <c r="C19" s="246" t="s">
        <v>45</v>
      </c>
      <c r="E19" s="246">
        <v>10027</v>
      </c>
      <c r="F19" s="246" t="s">
        <v>92</v>
      </c>
      <c r="G19" s="246">
        <v>50000</v>
      </c>
      <c r="H19" s="246">
        <f t="shared" si="6"/>
        <v>6180</v>
      </c>
      <c r="I19" s="246">
        <f t="shared" si="7"/>
        <v>5000</v>
      </c>
      <c r="L19" s="246">
        <v>0</v>
      </c>
      <c r="M19" s="246">
        <v>0</v>
      </c>
      <c r="N19" s="246">
        <v>0</v>
      </c>
      <c r="O19" s="246" t="s">
        <v>32</v>
      </c>
      <c r="P19" s="246">
        <v>56180</v>
      </c>
      <c r="U19" s="246" t="s">
        <v>63</v>
      </c>
      <c r="V19" s="246">
        <f t="shared" si="4"/>
        <v>51180</v>
      </c>
      <c r="Z19" s="246">
        <f t="shared" si="8"/>
        <v>51180</v>
      </c>
      <c r="AC19" s="246" t="s">
        <v>64</v>
      </c>
    </row>
    <row r="20" spans="1:32">
      <c r="A20" s="246" t="s">
        <v>35</v>
      </c>
      <c r="B20" s="246" t="s">
        <v>88</v>
      </c>
      <c r="C20" s="246" t="s">
        <v>45</v>
      </c>
      <c r="E20" s="246">
        <v>10028</v>
      </c>
      <c r="F20" s="246" t="s">
        <v>93</v>
      </c>
      <c r="G20" s="246">
        <v>150000</v>
      </c>
      <c r="H20" s="246">
        <f t="shared" si="6"/>
        <v>18540</v>
      </c>
      <c r="I20" s="246">
        <f t="shared" si="7"/>
        <v>15000</v>
      </c>
      <c r="L20" s="246">
        <v>0</v>
      </c>
      <c r="M20" s="246">
        <v>0</v>
      </c>
      <c r="N20" s="246">
        <v>0</v>
      </c>
      <c r="O20" s="246" t="s">
        <v>32</v>
      </c>
      <c r="P20" s="246">
        <v>168540</v>
      </c>
      <c r="U20" s="246" t="s">
        <v>94</v>
      </c>
      <c r="V20" s="246">
        <f t="shared" si="4"/>
        <v>153540</v>
      </c>
      <c r="Z20" s="246">
        <f t="shared" si="8"/>
        <v>153540</v>
      </c>
      <c r="AC20" s="246" t="s">
        <v>95</v>
      </c>
    </row>
    <row r="21" spans="1:32">
      <c r="A21" s="246" t="s">
        <v>35</v>
      </c>
      <c r="B21" s="246" t="s">
        <v>88</v>
      </c>
      <c r="C21" s="246" t="s">
        <v>45</v>
      </c>
      <c r="E21" s="246">
        <v>10029</v>
      </c>
      <c r="F21" s="246" t="s">
        <v>68</v>
      </c>
      <c r="G21" s="246">
        <v>5495</v>
      </c>
      <c r="H21" s="246">
        <v>0</v>
      </c>
      <c r="I21" s="246">
        <v>0</v>
      </c>
      <c r="L21" s="246">
        <v>0</v>
      </c>
      <c r="M21" s="246">
        <v>0</v>
      </c>
      <c r="N21" s="246">
        <v>0</v>
      </c>
      <c r="O21" s="246" t="s">
        <v>69</v>
      </c>
      <c r="P21" s="246">
        <v>5495</v>
      </c>
      <c r="U21" s="246" t="s">
        <v>96</v>
      </c>
      <c r="V21" s="246">
        <f t="shared" si="4"/>
        <v>5495</v>
      </c>
      <c r="Z21" s="246">
        <f t="shared" si="8"/>
        <v>5495</v>
      </c>
    </row>
    <row r="22" spans="1:32">
      <c r="A22" s="246" t="s">
        <v>35</v>
      </c>
      <c r="B22" s="253" t="s">
        <v>88</v>
      </c>
      <c r="C22" s="253" t="s">
        <v>45</v>
      </c>
      <c r="D22" s="253"/>
      <c r="E22" s="253">
        <v>10031</v>
      </c>
      <c r="F22" s="253" t="s">
        <v>98</v>
      </c>
      <c r="G22" s="253">
        <v>100000</v>
      </c>
      <c r="H22" s="253">
        <f t="shared" ref="H22:H27" si="9">G22*0.1236</f>
        <v>12360</v>
      </c>
      <c r="I22" s="253">
        <f t="shared" ref="I22:I27" si="10">G22*0.1</f>
        <v>10000</v>
      </c>
      <c r="J22" s="253"/>
      <c r="K22" s="253"/>
      <c r="L22" s="253">
        <v>0</v>
      </c>
      <c r="M22" s="253">
        <v>0</v>
      </c>
      <c r="N22" s="253">
        <v>0</v>
      </c>
      <c r="O22" s="253" t="s">
        <v>32</v>
      </c>
      <c r="P22" s="253">
        <v>100000</v>
      </c>
      <c r="Q22" s="253"/>
      <c r="R22" s="253"/>
      <c r="S22" s="253"/>
      <c r="T22" s="253"/>
      <c r="U22" s="253" t="s">
        <v>99</v>
      </c>
      <c r="V22" s="253">
        <f t="shared" ref="V22:V38" si="11">G22+H22-I22+N22</f>
        <v>102360</v>
      </c>
      <c r="W22" s="253">
        <v>126405</v>
      </c>
      <c r="X22" s="253"/>
      <c r="Y22" s="253" t="s">
        <v>100</v>
      </c>
      <c r="Z22" s="253">
        <f t="shared" ref="Z22:Z43" si="12">V22-W22</f>
        <v>-24045</v>
      </c>
      <c r="AC22" s="253" t="s">
        <v>42</v>
      </c>
      <c r="AD22" s="253"/>
      <c r="AE22" s="253"/>
      <c r="AF22" s="253"/>
    </row>
    <row r="23" spans="1:32">
      <c r="A23" s="246" t="s">
        <v>35</v>
      </c>
      <c r="B23" s="246" t="s">
        <v>36</v>
      </c>
      <c r="E23" s="248">
        <v>10032</v>
      </c>
      <c r="F23" s="246" t="s">
        <v>101</v>
      </c>
      <c r="G23" s="246">
        <v>587500</v>
      </c>
      <c r="H23" s="246">
        <f t="shared" si="9"/>
        <v>72615</v>
      </c>
      <c r="I23" s="246">
        <f t="shared" si="10"/>
        <v>58750</v>
      </c>
      <c r="L23" s="246">
        <v>0</v>
      </c>
      <c r="M23" s="246">
        <v>0</v>
      </c>
      <c r="N23" s="246">
        <v>0</v>
      </c>
      <c r="O23" s="246" t="s">
        <v>32</v>
      </c>
      <c r="P23" s="246">
        <v>660115</v>
      </c>
      <c r="U23" s="246" t="s">
        <v>102</v>
      </c>
      <c r="V23" s="246">
        <f t="shared" si="11"/>
        <v>601365</v>
      </c>
      <c r="W23" s="246">
        <v>447229</v>
      </c>
      <c r="Y23" s="246" t="s">
        <v>91</v>
      </c>
      <c r="Z23" s="246">
        <f t="shared" si="12"/>
        <v>154136</v>
      </c>
      <c r="AC23" s="246" t="s">
        <v>34</v>
      </c>
    </row>
    <row r="24" spans="1:32">
      <c r="A24" s="246" t="s">
        <v>35</v>
      </c>
      <c r="B24" s="246" t="s">
        <v>33</v>
      </c>
      <c r="E24" s="246">
        <v>10033</v>
      </c>
      <c r="F24" s="246" t="s">
        <v>103</v>
      </c>
      <c r="G24" s="246">
        <v>510000</v>
      </c>
      <c r="H24" s="246">
        <f t="shared" si="9"/>
        <v>63036</v>
      </c>
      <c r="I24" s="246">
        <f t="shared" si="10"/>
        <v>51000</v>
      </c>
      <c r="L24" s="246">
        <v>0</v>
      </c>
      <c r="M24" s="246">
        <v>0</v>
      </c>
      <c r="N24" s="246">
        <v>0</v>
      </c>
      <c r="O24" s="246" t="s">
        <v>32</v>
      </c>
      <c r="P24" s="246">
        <v>573036</v>
      </c>
      <c r="U24" s="246" t="s">
        <v>102</v>
      </c>
      <c r="V24" s="246">
        <f t="shared" si="11"/>
        <v>522036</v>
      </c>
      <c r="W24" s="246">
        <v>0</v>
      </c>
      <c r="Z24" s="246">
        <f t="shared" si="12"/>
        <v>522036</v>
      </c>
      <c r="AC24" s="246" t="s">
        <v>34</v>
      </c>
    </row>
    <row r="25" spans="1:32">
      <c r="A25" s="246" t="s">
        <v>35</v>
      </c>
      <c r="B25" s="251" t="s">
        <v>104</v>
      </c>
      <c r="C25" s="251"/>
      <c r="D25" s="251"/>
      <c r="E25" s="251">
        <v>10034</v>
      </c>
      <c r="F25" s="251" t="s">
        <v>105</v>
      </c>
      <c r="G25" s="251">
        <v>575000</v>
      </c>
      <c r="H25" s="251">
        <f t="shared" si="9"/>
        <v>71070</v>
      </c>
      <c r="I25" s="251">
        <f t="shared" si="10"/>
        <v>57500</v>
      </c>
      <c r="J25" s="251"/>
      <c r="K25" s="251"/>
      <c r="L25" s="251">
        <v>0</v>
      </c>
      <c r="M25" s="251">
        <v>0</v>
      </c>
      <c r="N25" s="251">
        <v>0</v>
      </c>
      <c r="O25" s="251" t="s">
        <v>32</v>
      </c>
      <c r="P25" s="251">
        <v>646070</v>
      </c>
      <c r="Q25" s="251"/>
      <c r="R25" s="251"/>
      <c r="S25" s="251"/>
      <c r="T25" s="251"/>
      <c r="U25" s="251" t="s">
        <v>106</v>
      </c>
      <c r="V25" s="251">
        <f t="shared" si="11"/>
        <v>588570</v>
      </c>
      <c r="W25" s="251">
        <v>581463</v>
      </c>
      <c r="X25" s="251"/>
      <c r="Y25" s="251" t="s">
        <v>107</v>
      </c>
      <c r="Z25" s="251">
        <f t="shared" si="12"/>
        <v>7107</v>
      </c>
      <c r="AC25" s="251" t="s">
        <v>42</v>
      </c>
      <c r="AD25" s="251"/>
      <c r="AE25" s="251"/>
      <c r="AF25" s="251"/>
    </row>
    <row r="26" spans="1:32">
      <c r="A26" s="246" t="s">
        <v>35</v>
      </c>
      <c r="B26" s="246" t="s">
        <v>108</v>
      </c>
      <c r="C26" s="246" t="s">
        <v>45</v>
      </c>
      <c r="E26" s="246">
        <v>10037</v>
      </c>
      <c r="F26" s="246" t="s">
        <v>97</v>
      </c>
      <c r="G26" s="246">
        <v>550000</v>
      </c>
      <c r="H26" s="246">
        <f t="shared" si="9"/>
        <v>67980</v>
      </c>
      <c r="I26" s="246">
        <f t="shared" si="10"/>
        <v>55000</v>
      </c>
      <c r="L26" s="246">
        <v>0</v>
      </c>
      <c r="M26" s="246">
        <v>0</v>
      </c>
      <c r="N26" s="246">
        <v>0</v>
      </c>
      <c r="O26" s="246" t="s">
        <v>32</v>
      </c>
      <c r="P26" s="246">
        <v>617980</v>
      </c>
      <c r="U26" s="246" t="s">
        <v>109</v>
      </c>
      <c r="V26" s="246">
        <f t="shared" si="11"/>
        <v>562980</v>
      </c>
      <c r="W26" s="246">
        <v>225000</v>
      </c>
      <c r="Y26" s="246" t="s">
        <v>110</v>
      </c>
      <c r="Z26" s="246">
        <f t="shared" si="12"/>
        <v>337980</v>
      </c>
      <c r="AA26" s="246" t="s">
        <v>111</v>
      </c>
      <c r="AC26" s="246" t="s">
        <v>34</v>
      </c>
    </row>
    <row r="27" spans="1:32">
      <c r="A27" s="246" t="s">
        <v>35</v>
      </c>
      <c r="B27" s="253" t="s">
        <v>88</v>
      </c>
      <c r="C27" s="253" t="s">
        <v>45</v>
      </c>
      <c r="D27" s="253"/>
      <c r="E27" s="253">
        <v>10038</v>
      </c>
      <c r="F27" s="253" t="s">
        <v>112</v>
      </c>
      <c r="G27" s="253">
        <v>75000</v>
      </c>
      <c r="H27" s="253">
        <f t="shared" si="9"/>
        <v>9270</v>
      </c>
      <c r="I27" s="253">
        <f t="shared" si="10"/>
        <v>7500</v>
      </c>
      <c r="J27" s="253"/>
      <c r="K27" s="253"/>
      <c r="L27" s="253">
        <v>0</v>
      </c>
      <c r="M27" s="253">
        <v>0</v>
      </c>
      <c r="N27" s="253">
        <v>0</v>
      </c>
      <c r="O27" s="253" t="s">
        <v>32</v>
      </c>
      <c r="P27" s="253">
        <v>84270</v>
      </c>
      <c r="Q27" s="253"/>
      <c r="R27" s="253"/>
      <c r="S27" s="253"/>
      <c r="T27" s="253"/>
      <c r="U27" s="253" t="s">
        <v>113</v>
      </c>
      <c r="V27" s="253">
        <f t="shared" si="11"/>
        <v>76770</v>
      </c>
      <c r="W27" s="253">
        <v>75843</v>
      </c>
      <c r="X27" s="253"/>
      <c r="Y27" s="253" t="s">
        <v>114</v>
      </c>
      <c r="Z27" s="253">
        <f t="shared" si="12"/>
        <v>927</v>
      </c>
      <c r="AC27" s="253" t="s">
        <v>42</v>
      </c>
      <c r="AD27" s="253"/>
      <c r="AE27" s="253"/>
      <c r="AF27" s="253"/>
    </row>
    <row r="28" spans="1:32">
      <c r="A28" s="246" t="s">
        <v>35</v>
      </c>
      <c r="B28" s="246" t="s">
        <v>115</v>
      </c>
      <c r="E28" s="246">
        <v>10039</v>
      </c>
      <c r="F28" s="246" t="s">
        <v>116</v>
      </c>
      <c r="G28" s="246">
        <v>41709</v>
      </c>
      <c r="H28" s="246">
        <v>0</v>
      </c>
      <c r="I28" s="246">
        <v>0</v>
      </c>
      <c r="L28" s="246">
        <v>0</v>
      </c>
      <c r="M28" s="246">
        <v>0</v>
      </c>
      <c r="N28" s="246">
        <v>0</v>
      </c>
      <c r="O28" s="246" t="s">
        <v>69</v>
      </c>
      <c r="P28" s="246">
        <v>41709</v>
      </c>
      <c r="U28" s="246" t="s">
        <v>106</v>
      </c>
      <c r="V28" s="246">
        <f t="shared" si="11"/>
        <v>41709</v>
      </c>
      <c r="W28" s="246">
        <v>0</v>
      </c>
      <c r="Z28" s="246">
        <f t="shared" si="12"/>
        <v>41709</v>
      </c>
      <c r="AC28" s="246" t="s">
        <v>95</v>
      </c>
    </row>
    <row r="29" spans="1:32">
      <c r="A29" s="246" t="s">
        <v>35</v>
      </c>
      <c r="B29" s="246" t="s">
        <v>117</v>
      </c>
      <c r="E29" s="246">
        <v>10040</v>
      </c>
      <c r="F29" s="246" t="s">
        <v>118</v>
      </c>
      <c r="G29" s="246">
        <v>210000</v>
      </c>
      <c r="H29" s="246">
        <f>G29*0.1236</f>
        <v>25956</v>
      </c>
      <c r="I29" s="246">
        <f>G29*0.1</f>
        <v>21000</v>
      </c>
      <c r="L29" s="246">
        <v>0</v>
      </c>
      <c r="M29" s="246">
        <v>0</v>
      </c>
      <c r="N29" s="246">
        <v>0</v>
      </c>
      <c r="O29" s="246" t="s">
        <v>32</v>
      </c>
      <c r="P29" s="246">
        <v>235956</v>
      </c>
      <c r="U29" s="246" t="s">
        <v>119</v>
      </c>
      <c r="V29" s="246">
        <f t="shared" si="11"/>
        <v>214956</v>
      </c>
      <c r="W29" s="246">
        <v>235956</v>
      </c>
      <c r="Z29" s="246">
        <f t="shared" si="12"/>
        <v>-21000</v>
      </c>
      <c r="AC29" s="246" t="s">
        <v>42</v>
      </c>
    </row>
    <row r="30" spans="1:32">
      <c r="A30" s="246" t="s">
        <v>35</v>
      </c>
      <c r="B30" s="246" t="s">
        <v>120</v>
      </c>
      <c r="C30" s="246" t="s">
        <v>45</v>
      </c>
      <c r="E30" s="246">
        <v>10041</v>
      </c>
      <c r="F30" s="246" t="s">
        <v>121</v>
      </c>
      <c r="G30" s="246">
        <v>125000</v>
      </c>
      <c r="H30" s="246">
        <f>G30*0.1236</f>
        <v>15450</v>
      </c>
      <c r="I30" s="246">
        <f>G30*0.1</f>
        <v>12500</v>
      </c>
      <c r="L30" s="246">
        <v>0</v>
      </c>
      <c r="M30" s="246">
        <v>0</v>
      </c>
      <c r="N30" s="246">
        <v>0</v>
      </c>
      <c r="O30" s="246" t="s">
        <v>32</v>
      </c>
      <c r="P30" s="246">
        <v>140450</v>
      </c>
      <c r="U30" s="246" t="s">
        <v>119</v>
      </c>
      <c r="V30" s="246">
        <f t="shared" si="11"/>
        <v>127950</v>
      </c>
      <c r="W30" s="246">
        <v>140450</v>
      </c>
      <c r="Z30" s="246">
        <f t="shared" si="12"/>
        <v>-12500</v>
      </c>
      <c r="AA30" s="246" t="s">
        <v>122</v>
      </c>
      <c r="AC30" s="246" t="s">
        <v>42</v>
      </c>
    </row>
    <row r="31" spans="1:32">
      <c r="A31" s="246" t="s">
        <v>35</v>
      </c>
      <c r="B31" s="246" t="s">
        <v>33</v>
      </c>
      <c r="E31" s="246">
        <v>10042</v>
      </c>
      <c r="F31" s="246" t="s">
        <v>123</v>
      </c>
      <c r="G31" s="246">
        <v>210000</v>
      </c>
      <c r="H31" s="246">
        <f>G31*0.1236</f>
        <v>25956</v>
      </c>
      <c r="I31" s="246">
        <f>G31*0.1</f>
        <v>21000</v>
      </c>
      <c r="L31" s="246">
        <v>0</v>
      </c>
      <c r="M31" s="246">
        <v>0</v>
      </c>
      <c r="N31" s="246">
        <v>0</v>
      </c>
      <c r="O31" s="246" t="s">
        <v>32</v>
      </c>
      <c r="P31" s="246">
        <v>235956</v>
      </c>
      <c r="U31" s="246" t="s">
        <v>124</v>
      </c>
      <c r="V31" s="246">
        <f t="shared" si="11"/>
        <v>214956</v>
      </c>
      <c r="W31" s="246">
        <v>235956</v>
      </c>
      <c r="Z31" s="246">
        <f t="shared" si="12"/>
        <v>-21000</v>
      </c>
      <c r="AC31" s="246" t="s">
        <v>42</v>
      </c>
    </row>
    <row r="32" spans="1:32">
      <c r="A32" s="246" t="s">
        <v>35</v>
      </c>
      <c r="B32" s="246" t="s">
        <v>72</v>
      </c>
      <c r="C32" s="246" t="s">
        <v>45</v>
      </c>
      <c r="E32" s="246">
        <v>10043</v>
      </c>
      <c r="F32" s="246" t="s">
        <v>43</v>
      </c>
      <c r="G32" s="246">
        <v>50000</v>
      </c>
      <c r="H32" s="246">
        <f>G32*0.1236</f>
        <v>6180</v>
      </c>
      <c r="I32" s="246">
        <f>G32*0.1</f>
        <v>5000</v>
      </c>
      <c r="L32" s="246">
        <v>0</v>
      </c>
      <c r="M32" s="246">
        <v>0</v>
      </c>
      <c r="N32" s="246">
        <v>0</v>
      </c>
      <c r="O32" s="246" t="s">
        <v>32</v>
      </c>
      <c r="P32" s="246">
        <v>56180</v>
      </c>
      <c r="U32" s="246" t="s">
        <v>125</v>
      </c>
      <c r="V32" s="246">
        <f t="shared" si="11"/>
        <v>51180</v>
      </c>
      <c r="W32" s="246">
        <v>56180</v>
      </c>
      <c r="Z32" s="246">
        <f t="shared" si="12"/>
        <v>-5000</v>
      </c>
      <c r="AC32" s="246" t="s">
        <v>42</v>
      </c>
    </row>
    <row r="33" spans="1:32">
      <c r="A33" s="246" t="s">
        <v>35</v>
      </c>
      <c r="B33" s="252" t="s">
        <v>75</v>
      </c>
      <c r="C33" s="252"/>
      <c r="D33" s="252"/>
      <c r="E33" s="246">
        <v>10044</v>
      </c>
      <c r="F33" s="246" t="s">
        <v>95</v>
      </c>
      <c r="G33" s="246" t="s">
        <v>126</v>
      </c>
      <c r="H33" s="246">
        <v>0</v>
      </c>
      <c r="I33" s="246">
        <v>0</v>
      </c>
      <c r="L33" s="246">
        <v>0</v>
      </c>
      <c r="M33" s="246">
        <v>0</v>
      </c>
      <c r="N33" s="246">
        <v>0</v>
      </c>
      <c r="O33" s="246" t="s">
        <v>127</v>
      </c>
      <c r="P33" s="246" t="s">
        <v>126</v>
      </c>
      <c r="U33" s="246" t="s">
        <v>125</v>
      </c>
      <c r="V33" s="246" t="e">
        <f t="shared" si="11"/>
        <v>#VALUE!</v>
      </c>
      <c r="W33" s="246">
        <v>0</v>
      </c>
      <c r="Z33" s="246" t="e">
        <f t="shared" si="12"/>
        <v>#VALUE!</v>
      </c>
      <c r="AC33" s="246" t="s">
        <v>95</v>
      </c>
    </row>
    <row r="34" spans="1:32">
      <c r="A34" s="246" t="s">
        <v>35</v>
      </c>
      <c r="B34" s="251" t="s">
        <v>75</v>
      </c>
      <c r="C34" s="251"/>
      <c r="D34" s="251"/>
      <c r="E34" s="251">
        <v>10045</v>
      </c>
      <c r="F34" s="251" t="s">
        <v>128</v>
      </c>
      <c r="G34" s="251" t="s">
        <v>129</v>
      </c>
      <c r="H34" s="251">
        <v>0</v>
      </c>
      <c r="I34" s="251">
        <v>0</v>
      </c>
      <c r="J34" s="251"/>
      <c r="K34" s="251"/>
      <c r="L34" s="251">
        <v>0</v>
      </c>
      <c r="M34" s="251">
        <v>0</v>
      </c>
      <c r="N34" s="251">
        <v>0</v>
      </c>
      <c r="O34" s="251" t="s">
        <v>127</v>
      </c>
      <c r="P34" s="251" t="s">
        <v>129</v>
      </c>
      <c r="Q34" s="251"/>
      <c r="R34" s="251"/>
      <c r="S34" s="251"/>
      <c r="T34" s="251"/>
      <c r="U34" s="251" t="s">
        <v>130</v>
      </c>
      <c r="V34" s="251" t="e">
        <f t="shared" si="11"/>
        <v>#VALUE!</v>
      </c>
      <c r="W34" s="251" t="s">
        <v>131</v>
      </c>
      <c r="X34" s="251"/>
      <c r="Y34" s="251" t="s">
        <v>125</v>
      </c>
      <c r="Z34" s="251" t="e">
        <f t="shared" si="12"/>
        <v>#VALUE!</v>
      </c>
      <c r="AC34" s="251" t="s">
        <v>34</v>
      </c>
      <c r="AD34" s="251"/>
      <c r="AE34" s="251"/>
      <c r="AF34" s="251"/>
    </row>
    <row r="35" spans="1:32">
      <c r="A35" s="246" t="s">
        <v>35</v>
      </c>
      <c r="B35" s="246" t="s">
        <v>132</v>
      </c>
      <c r="C35" s="246" t="s">
        <v>45</v>
      </c>
      <c r="E35" s="246">
        <v>10046</v>
      </c>
      <c r="F35" s="246" t="s">
        <v>133</v>
      </c>
      <c r="G35" s="246">
        <v>140000</v>
      </c>
      <c r="H35" s="246">
        <f>G35*0.1236</f>
        <v>17304</v>
      </c>
      <c r="I35" s="246">
        <f>G35*0.1</f>
        <v>14000</v>
      </c>
      <c r="L35" s="246">
        <v>0</v>
      </c>
      <c r="M35" s="246">
        <v>0</v>
      </c>
      <c r="N35" s="246">
        <v>0</v>
      </c>
      <c r="O35" s="246" t="s">
        <v>32</v>
      </c>
      <c r="P35" s="246">
        <v>157304</v>
      </c>
      <c r="U35" s="246" t="s">
        <v>134</v>
      </c>
      <c r="V35" s="246">
        <f t="shared" si="11"/>
        <v>143304</v>
      </c>
      <c r="W35" s="246">
        <v>157304</v>
      </c>
      <c r="Z35" s="246">
        <f t="shared" si="12"/>
        <v>-14000</v>
      </c>
      <c r="AC35" s="246" t="s">
        <v>135</v>
      </c>
    </row>
    <row r="36" spans="1:32">
      <c r="A36" s="246" t="s">
        <v>35</v>
      </c>
      <c r="B36" s="246" t="s">
        <v>36</v>
      </c>
      <c r="E36" s="246">
        <v>10047</v>
      </c>
      <c r="F36" s="246" t="s">
        <v>68</v>
      </c>
      <c r="G36" s="246">
        <v>8640</v>
      </c>
      <c r="H36" s="246">
        <v>0</v>
      </c>
      <c r="I36" s="246">
        <v>0</v>
      </c>
      <c r="L36" s="246">
        <v>0</v>
      </c>
      <c r="M36" s="246">
        <v>0</v>
      </c>
      <c r="N36" s="246">
        <v>0</v>
      </c>
      <c r="O36" s="246" t="s">
        <v>69</v>
      </c>
      <c r="P36" s="246">
        <v>8640</v>
      </c>
      <c r="U36" s="246" t="s">
        <v>136</v>
      </c>
      <c r="V36" s="246">
        <f t="shared" si="11"/>
        <v>8640</v>
      </c>
      <c r="W36" s="246">
        <v>8640</v>
      </c>
      <c r="Y36" s="246" t="s">
        <v>137</v>
      </c>
      <c r="Z36" s="246">
        <f t="shared" si="12"/>
        <v>0</v>
      </c>
      <c r="AC36" s="246" t="s">
        <v>42</v>
      </c>
    </row>
    <row r="37" spans="1:32">
      <c r="A37" s="246" t="s">
        <v>35</v>
      </c>
      <c r="B37" s="246" t="s">
        <v>44</v>
      </c>
      <c r="C37" s="246" t="s">
        <v>45</v>
      </c>
      <c r="E37" s="246">
        <v>10048</v>
      </c>
      <c r="F37" s="246" t="s">
        <v>68</v>
      </c>
      <c r="G37" s="246">
        <v>63871</v>
      </c>
      <c r="H37" s="246">
        <v>0</v>
      </c>
      <c r="I37" s="246">
        <v>0</v>
      </c>
      <c r="L37" s="246">
        <v>0</v>
      </c>
      <c r="M37" s="246">
        <v>0</v>
      </c>
      <c r="N37" s="246">
        <v>0</v>
      </c>
      <c r="O37" s="246" t="s">
        <v>69</v>
      </c>
      <c r="P37" s="246">
        <v>63871</v>
      </c>
      <c r="U37" s="246" t="s">
        <v>138</v>
      </c>
      <c r="V37" s="246">
        <f t="shared" si="11"/>
        <v>63871</v>
      </c>
      <c r="W37" s="246">
        <v>63871</v>
      </c>
      <c r="Y37" s="246" t="s">
        <v>139</v>
      </c>
      <c r="Z37" s="246">
        <f t="shared" si="12"/>
        <v>0</v>
      </c>
      <c r="AC37" s="246" t="s">
        <v>42</v>
      </c>
    </row>
    <row r="38" spans="1:32">
      <c r="A38" s="246" t="s">
        <v>35</v>
      </c>
      <c r="B38" s="251" t="s">
        <v>140</v>
      </c>
      <c r="C38" s="251"/>
      <c r="D38" s="251"/>
      <c r="E38" s="251">
        <v>10050</v>
      </c>
      <c r="F38" s="251" t="s">
        <v>141</v>
      </c>
      <c r="G38" s="251">
        <v>130000</v>
      </c>
      <c r="H38" s="251">
        <f t="shared" ref="H38:H43" si="13">G38*0.1236</f>
        <v>16068</v>
      </c>
      <c r="I38" s="251">
        <f t="shared" ref="I38:I43" si="14">G38*0.1</f>
        <v>13000</v>
      </c>
      <c r="J38" s="251"/>
      <c r="K38" s="251" t="s">
        <v>142</v>
      </c>
      <c r="L38" s="251">
        <v>0</v>
      </c>
      <c r="M38" s="251">
        <v>0</v>
      </c>
      <c r="N38" s="251">
        <v>0</v>
      </c>
      <c r="O38" s="251" t="s">
        <v>32</v>
      </c>
      <c r="P38" s="251">
        <v>146068</v>
      </c>
      <c r="Q38" s="251"/>
      <c r="R38" s="251"/>
      <c r="S38" s="251"/>
      <c r="T38" s="251"/>
      <c r="U38" s="251" t="s">
        <v>114</v>
      </c>
      <c r="V38" s="251">
        <f t="shared" si="11"/>
        <v>133068</v>
      </c>
      <c r="W38" s="251">
        <v>133068</v>
      </c>
      <c r="X38" s="251"/>
      <c r="Y38" s="251" t="s">
        <v>143</v>
      </c>
      <c r="Z38" s="251">
        <f t="shared" si="12"/>
        <v>0</v>
      </c>
      <c r="AC38" s="251" t="s">
        <v>64</v>
      </c>
      <c r="AD38" s="251"/>
      <c r="AE38" s="251"/>
      <c r="AF38" s="251"/>
    </row>
    <row r="39" spans="1:32">
      <c r="A39" s="246" t="s">
        <v>35</v>
      </c>
      <c r="B39" s="251" t="s">
        <v>140</v>
      </c>
      <c r="C39" s="251"/>
      <c r="D39" s="251"/>
      <c r="E39" s="251">
        <v>10051</v>
      </c>
      <c r="F39" s="251" t="s">
        <v>144</v>
      </c>
      <c r="G39" s="251">
        <v>130000</v>
      </c>
      <c r="H39" s="251">
        <f t="shared" si="13"/>
        <v>16068</v>
      </c>
      <c r="I39" s="251">
        <f t="shared" si="14"/>
        <v>13000</v>
      </c>
      <c r="J39" s="251"/>
      <c r="K39" s="251" t="s">
        <v>142</v>
      </c>
      <c r="L39" s="251">
        <v>0</v>
      </c>
      <c r="M39" s="251">
        <v>0</v>
      </c>
      <c r="N39" s="251">
        <v>0</v>
      </c>
      <c r="O39" s="251" t="s">
        <v>32</v>
      </c>
      <c r="P39" s="251">
        <v>146068</v>
      </c>
      <c r="Q39" s="251"/>
      <c r="R39" s="251"/>
      <c r="S39" s="251"/>
      <c r="T39" s="251"/>
      <c r="U39" s="251" t="s">
        <v>145</v>
      </c>
      <c r="V39" s="251">
        <v>133068</v>
      </c>
      <c r="W39" s="251">
        <v>133068</v>
      </c>
      <c r="X39" s="251"/>
      <c r="Y39" s="251" t="s">
        <v>146</v>
      </c>
      <c r="Z39" s="251">
        <f t="shared" si="12"/>
        <v>0</v>
      </c>
      <c r="AC39" s="251" t="s">
        <v>64</v>
      </c>
      <c r="AD39" s="251" t="s">
        <v>147</v>
      </c>
      <c r="AE39" s="251"/>
      <c r="AF39" s="251"/>
    </row>
    <row r="40" spans="1:32">
      <c r="A40" s="246" t="s">
        <v>35</v>
      </c>
      <c r="B40" s="253" t="s">
        <v>88</v>
      </c>
      <c r="C40" s="253" t="s">
        <v>45</v>
      </c>
      <c r="D40" s="253"/>
      <c r="E40" s="253">
        <v>10052</v>
      </c>
      <c r="F40" s="253" t="s">
        <v>148</v>
      </c>
      <c r="G40" s="253">
        <v>50000</v>
      </c>
      <c r="H40" s="253">
        <f t="shared" si="13"/>
        <v>6180</v>
      </c>
      <c r="I40" s="253">
        <f t="shared" si="14"/>
        <v>5000</v>
      </c>
      <c r="J40" s="253"/>
      <c r="K40" s="253"/>
      <c r="L40" s="253">
        <v>0</v>
      </c>
      <c r="M40" s="253">
        <v>0</v>
      </c>
      <c r="N40" s="253">
        <v>0</v>
      </c>
      <c r="O40" s="253" t="s">
        <v>32</v>
      </c>
      <c r="P40" s="253">
        <v>56180</v>
      </c>
      <c r="Q40" s="253"/>
      <c r="R40" s="253"/>
      <c r="S40" s="253"/>
      <c r="T40" s="253"/>
      <c r="U40" s="253" t="s">
        <v>149</v>
      </c>
      <c r="V40" s="253">
        <f>G40+H40-I40+N40</f>
        <v>51180</v>
      </c>
      <c r="W40" s="253">
        <v>50562</v>
      </c>
      <c r="X40" s="253"/>
      <c r="Y40" s="253" t="s">
        <v>150</v>
      </c>
      <c r="Z40" s="253">
        <f t="shared" si="12"/>
        <v>618</v>
      </c>
      <c r="AC40" s="253" t="s">
        <v>64</v>
      </c>
      <c r="AD40" s="253"/>
      <c r="AE40" s="253"/>
      <c r="AF40" s="253"/>
    </row>
    <row r="41" spans="1:32">
      <c r="A41" s="246" t="s">
        <v>35</v>
      </c>
      <c r="B41" s="251" t="s">
        <v>151</v>
      </c>
      <c r="C41" s="251"/>
      <c r="D41" s="251"/>
      <c r="E41" s="251">
        <v>10053</v>
      </c>
      <c r="F41" s="251" t="s">
        <v>152</v>
      </c>
      <c r="G41" s="251">
        <v>63000</v>
      </c>
      <c r="H41" s="251">
        <f t="shared" si="13"/>
        <v>7786.8</v>
      </c>
      <c r="I41" s="251">
        <f t="shared" si="14"/>
        <v>6300</v>
      </c>
      <c r="J41" s="251"/>
      <c r="K41" s="251"/>
      <c r="L41" s="251">
        <v>0</v>
      </c>
      <c r="M41" s="251">
        <v>0</v>
      </c>
      <c r="N41" s="251">
        <v>0</v>
      </c>
      <c r="O41" s="251" t="s">
        <v>32</v>
      </c>
      <c r="P41" s="251">
        <v>70786</v>
      </c>
      <c r="Q41" s="251"/>
      <c r="R41" s="251"/>
      <c r="S41" s="251"/>
      <c r="T41" s="251"/>
      <c r="U41" s="251" t="s">
        <v>153</v>
      </c>
      <c r="V41" s="251">
        <f>G41+H41-I41+N41</f>
        <v>64486.8</v>
      </c>
      <c r="W41" s="251">
        <v>63708</v>
      </c>
      <c r="X41" s="251"/>
      <c r="Y41" s="251" t="s">
        <v>154</v>
      </c>
      <c r="Z41" s="251">
        <f t="shared" si="12"/>
        <v>778.80000000000291</v>
      </c>
      <c r="AC41" s="251" t="s">
        <v>64</v>
      </c>
      <c r="AD41" s="251"/>
      <c r="AE41" s="251"/>
      <c r="AF41" s="251"/>
    </row>
    <row r="42" spans="1:32">
      <c r="A42" s="246" t="s">
        <v>35</v>
      </c>
      <c r="B42" s="246" t="s">
        <v>155</v>
      </c>
      <c r="E42" s="246">
        <v>10054</v>
      </c>
      <c r="F42" s="246" t="s">
        <v>156</v>
      </c>
      <c r="G42" s="246">
        <v>180000</v>
      </c>
      <c r="H42" s="246">
        <f t="shared" si="13"/>
        <v>22248</v>
      </c>
      <c r="I42" s="246">
        <f t="shared" si="14"/>
        <v>18000</v>
      </c>
      <c r="L42" s="246">
        <v>0</v>
      </c>
      <c r="M42" s="246">
        <v>0</v>
      </c>
      <c r="N42" s="246">
        <v>0</v>
      </c>
      <c r="O42" s="246" t="s">
        <v>32</v>
      </c>
      <c r="P42" s="246">
        <v>202248</v>
      </c>
      <c r="U42" s="246" t="s">
        <v>157</v>
      </c>
      <c r="V42" s="246">
        <f>G42+H42-I42+L42+M42+N42</f>
        <v>184248</v>
      </c>
      <c r="W42" s="246">
        <v>202248</v>
      </c>
      <c r="Z42" s="246">
        <f t="shared" si="12"/>
        <v>-18000</v>
      </c>
      <c r="AA42" s="249"/>
      <c r="AC42" s="246" t="s">
        <v>64</v>
      </c>
    </row>
    <row r="43" spans="1:32">
      <c r="A43" s="246" t="s">
        <v>35</v>
      </c>
      <c r="B43" s="246" t="s">
        <v>104</v>
      </c>
      <c r="E43" s="246">
        <v>10055</v>
      </c>
      <c r="F43" s="246" t="s">
        <v>158</v>
      </c>
      <c r="G43" s="246">
        <v>575000</v>
      </c>
      <c r="H43" s="246">
        <f t="shared" si="13"/>
        <v>71070</v>
      </c>
      <c r="I43" s="246">
        <f t="shared" si="14"/>
        <v>57500</v>
      </c>
      <c r="L43" s="246">
        <v>0</v>
      </c>
      <c r="M43" s="246">
        <v>0</v>
      </c>
      <c r="N43" s="246">
        <v>0</v>
      </c>
      <c r="O43" s="246" t="s">
        <v>32</v>
      </c>
      <c r="P43" s="246">
        <v>646000</v>
      </c>
      <c r="U43" s="246" t="s">
        <v>159</v>
      </c>
      <c r="V43" s="246">
        <f t="shared" ref="V43:V82" si="15">G43+H43-I43+N43</f>
        <v>588570</v>
      </c>
      <c r="W43" s="246">
        <v>646000</v>
      </c>
      <c r="Z43" s="246">
        <f t="shared" si="12"/>
        <v>-57430</v>
      </c>
      <c r="AA43" s="246" t="s">
        <v>160</v>
      </c>
      <c r="AC43" s="246" t="s">
        <v>42</v>
      </c>
    </row>
    <row r="44" spans="1:32" ht="30" customHeight="1">
      <c r="A44" s="246" t="s">
        <v>35</v>
      </c>
      <c r="B44" s="251" t="s">
        <v>151</v>
      </c>
      <c r="E44" s="251">
        <v>10056</v>
      </c>
      <c r="F44" s="250" t="s">
        <v>161</v>
      </c>
      <c r="G44" s="246">
        <v>52500</v>
      </c>
      <c r="H44" s="251">
        <v>7786.8</v>
      </c>
      <c r="I44" s="251">
        <v>6300</v>
      </c>
      <c r="J44" s="251"/>
      <c r="K44" s="251"/>
      <c r="L44" s="251">
        <v>0</v>
      </c>
      <c r="M44" s="251">
        <v>0</v>
      </c>
      <c r="N44" s="251">
        <v>0</v>
      </c>
      <c r="O44" s="251" t="s">
        <v>32</v>
      </c>
      <c r="P44" s="251">
        <v>188764</v>
      </c>
      <c r="Q44" s="251"/>
      <c r="R44" s="251"/>
      <c r="S44" s="251"/>
      <c r="T44" s="251"/>
      <c r="U44" s="251" t="s">
        <v>162</v>
      </c>
      <c r="V44" s="251">
        <f t="shared" si="15"/>
        <v>53986.8</v>
      </c>
      <c r="W44" s="251">
        <v>53090</v>
      </c>
      <c r="Y44" s="251" t="s">
        <v>159</v>
      </c>
    </row>
    <row r="45" spans="1:32">
      <c r="A45" s="246" t="s">
        <v>35</v>
      </c>
      <c r="B45" s="251" t="s">
        <v>151</v>
      </c>
      <c r="C45" s="251"/>
      <c r="D45" s="251"/>
      <c r="E45" s="251">
        <v>10057</v>
      </c>
      <c r="F45" s="251" t="s">
        <v>163</v>
      </c>
      <c r="G45" s="251">
        <v>52500</v>
      </c>
      <c r="H45" s="251">
        <f>G45*0.1236</f>
        <v>6489</v>
      </c>
      <c r="I45" s="251">
        <f>G45*0.1</f>
        <v>5250</v>
      </c>
      <c r="J45" s="251"/>
      <c r="K45" s="251"/>
      <c r="L45" s="251">
        <v>0</v>
      </c>
      <c r="M45" s="251">
        <v>0</v>
      </c>
      <c r="N45" s="251">
        <v>0</v>
      </c>
      <c r="O45" s="251" t="s">
        <v>32</v>
      </c>
      <c r="P45" s="251">
        <v>58989</v>
      </c>
      <c r="Q45" s="251"/>
      <c r="R45" s="251"/>
      <c r="S45" s="251"/>
      <c r="T45" s="251"/>
      <c r="U45" s="251" t="s">
        <v>164</v>
      </c>
      <c r="V45" s="251">
        <f t="shared" si="15"/>
        <v>53739</v>
      </c>
      <c r="W45" s="251">
        <v>53739</v>
      </c>
      <c r="X45" s="251"/>
      <c r="Y45" s="251" t="s">
        <v>165</v>
      </c>
      <c r="Z45" s="251">
        <f t="shared" ref="Z45:Z82" si="16">V45-W45</f>
        <v>0</v>
      </c>
      <c r="AC45" s="251" t="s">
        <v>64</v>
      </c>
      <c r="AD45" s="251"/>
      <c r="AE45" s="251"/>
      <c r="AF45" s="251"/>
    </row>
    <row r="46" spans="1:32">
      <c r="A46" s="246" t="s">
        <v>35</v>
      </c>
      <c r="B46" s="246" t="s">
        <v>140</v>
      </c>
      <c r="E46" s="246">
        <v>10058</v>
      </c>
      <c r="F46" s="246" t="s">
        <v>166</v>
      </c>
      <c r="G46" s="246">
        <v>130000</v>
      </c>
      <c r="H46" s="246">
        <f>G46*0.1236</f>
        <v>16068</v>
      </c>
      <c r="I46" s="246">
        <f>G46*0.1</f>
        <v>13000</v>
      </c>
      <c r="L46" s="246">
        <v>0</v>
      </c>
      <c r="M46" s="246">
        <v>0</v>
      </c>
      <c r="N46" s="246">
        <v>0</v>
      </c>
      <c r="O46" s="246" t="s">
        <v>32</v>
      </c>
      <c r="P46" s="246">
        <v>146068</v>
      </c>
      <c r="U46" s="246" t="s">
        <v>167</v>
      </c>
      <c r="V46" s="246">
        <f t="shared" si="15"/>
        <v>133068</v>
      </c>
      <c r="W46" s="246">
        <v>146068</v>
      </c>
      <c r="Z46" s="246">
        <f t="shared" si="16"/>
        <v>-13000</v>
      </c>
      <c r="AC46" s="246" t="s">
        <v>64</v>
      </c>
    </row>
    <row r="47" spans="1:32">
      <c r="A47" s="246" t="s">
        <v>35</v>
      </c>
      <c r="B47" s="246" t="s">
        <v>168</v>
      </c>
      <c r="E47" s="246">
        <v>10059</v>
      </c>
      <c r="F47" s="246" t="s">
        <v>169</v>
      </c>
      <c r="G47" s="246">
        <v>230000</v>
      </c>
      <c r="H47" s="246">
        <f>G47*0.1236</f>
        <v>28428</v>
      </c>
      <c r="I47" s="246">
        <f>G47*0.1</f>
        <v>23000</v>
      </c>
      <c r="L47" s="246">
        <v>0</v>
      </c>
      <c r="M47" s="246">
        <v>0</v>
      </c>
      <c r="N47" s="246">
        <v>0</v>
      </c>
      <c r="O47" s="246" t="s">
        <v>32</v>
      </c>
      <c r="P47" s="246">
        <v>258428</v>
      </c>
      <c r="U47" s="246" t="s">
        <v>170</v>
      </c>
      <c r="V47" s="246">
        <f t="shared" si="15"/>
        <v>235428</v>
      </c>
      <c r="W47" s="246">
        <v>235428</v>
      </c>
      <c r="Y47" s="246" t="s">
        <v>171</v>
      </c>
      <c r="Z47" s="246">
        <f t="shared" si="16"/>
        <v>0</v>
      </c>
      <c r="AC47" s="246" t="s">
        <v>172</v>
      </c>
    </row>
    <row r="48" spans="1:32">
      <c r="A48" s="246" t="s">
        <v>35</v>
      </c>
      <c r="B48" s="246" t="s">
        <v>173</v>
      </c>
      <c r="E48" s="246">
        <v>10060</v>
      </c>
      <c r="F48" s="246" t="s">
        <v>41</v>
      </c>
      <c r="G48" s="246">
        <v>312500</v>
      </c>
      <c r="H48" s="246">
        <f>G48*0.1236</f>
        <v>38625</v>
      </c>
      <c r="I48" s="246">
        <f>G48*0.1</f>
        <v>31250</v>
      </c>
      <c r="L48" s="246">
        <v>0</v>
      </c>
      <c r="M48" s="246">
        <v>0</v>
      </c>
      <c r="N48" s="246">
        <v>0</v>
      </c>
      <c r="O48" s="246" t="s">
        <v>32</v>
      </c>
      <c r="P48" s="246">
        <v>351125</v>
      </c>
      <c r="U48" s="246" t="s">
        <v>170</v>
      </c>
      <c r="V48" s="246">
        <f t="shared" si="15"/>
        <v>319875</v>
      </c>
      <c r="W48" s="246">
        <v>351125</v>
      </c>
      <c r="Z48" s="246">
        <f t="shared" si="16"/>
        <v>-31250</v>
      </c>
      <c r="AC48" s="246" t="s">
        <v>174</v>
      </c>
    </row>
    <row r="49" spans="1:32">
      <c r="A49" s="246" t="s">
        <v>35</v>
      </c>
      <c r="B49" s="252" t="s">
        <v>115</v>
      </c>
      <c r="C49" s="252"/>
      <c r="D49" s="252"/>
      <c r="E49" s="246">
        <v>10061</v>
      </c>
      <c r="F49" s="246" t="s">
        <v>68</v>
      </c>
      <c r="G49" s="246">
        <v>48679</v>
      </c>
      <c r="H49" s="246">
        <v>0</v>
      </c>
      <c r="I49" s="246">
        <v>0</v>
      </c>
      <c r="L49" s="246">
        <v>0</v>
      </c>
      <c r="M49" s="246">
        <v>0</v>
      </c>
      <c r="N49" s="246">
        <v>0</v>
      </c>
      <c r="O49" s="246" t="s">
        <v>69</v>
      </c>
      <c r="P49" s="246">
        <v>48679</v>
      </c>
      <c r="U49" s="246" t="s">
        <v>165</v>
      </c>
      <c r="V49" s="246">
        <f t="shared" si="15"/>
        <v>48679</v>
      </c>
      <c r="W49" s="246">
        <v>48679</v>
      </c>
      <c r="Y49" s="246" t="s">
        <v>175</v>
      </c>
      <c r="Z49" s="246">
        <f t="shared" si="16"/>
        <v>0</v>
      </c>
      <c r="AC49" s="246" t="s">
        <v>176</v>
      </c>
    </row>
    <row r="50" spans="1:32">
      <c r="A50" s="246" t="s">
        <v>35</v>
      </c>
      <c r="B50" s="246" t="s">
        <v>140</v>
      </c>
      <c r="E50" s="246">
        <v>10062</v>
      </c>
      <c r="F50" s="246" t="s">
        <v>68</v>
      </c>
      <c r="G50" s="246">
        <v>26197</v>
      </c>
      <c r="H50" s="246">
        <v>0</v>
      </c>
      <c r="I50" s="246">
        <v>0</v>
      </c>
      <c r="L50" s="246">
        <v>0</v>
      </c>
      <c r="M50" s="246">
        <v>0</v>
      </c>
      <c r="N50" s="246">
        <v>0</v>
      </c>
      <c r="O50" s="246" t="s">
        <v>69</v>
      </c>
      <c r="P50" s="246">
        <v>26197</v>
      </c>
      <c r="U50" s="246" t="s">
        <v>107</v>
      </c>
      <c r="V50" s="246">
        <f t="shared" si="15"/>
        <v>26197</v>
      </c>
      <c r="W50" s="246">
        <v>26197</v>
      </c>
      <c r="Y50" s="246" t="s">
        <v>177</v>
      </c>
      <c r="Z50" s="246">
        <f t="shared" si="16"/>
        <v>0</v>
      </c>
      <c r="AC50" s="246" t="s">
        <v>64</v>
      </c>
    </row>
    <row r="51" spans="1:32">
      <c r="A51" s="246" t="s">
        <v>35</v>
      </c>
      <c r="B51" s="246" t="s">
        <v>178</v>
      </c>
      <c r="E51" s="246">
        <v>10063</v>
      </c>
      <c r="F51" s="246" t="s">
        <v>179</v>
      </c>
      <c r="G51" s="246">
        <v>200000</v>
      </c>
      <c r="H51" s="246">
        <f>G51*0.1236</f>
        <v>24720</v>
      </c>
      <c r="I51" s="246">
        <f>G51*0.1</f>
        <v>20000</v>
      </c>
      <c r="L51" s="246">
        <v>0</v>
      </c>
      <c r="M51" s="246">
        <v>0</v>
      </c>
      <c r="N51" s="246">
        <v>0</v>
      </c>
      <c r="O51" s="246" t="s">
        <v>32</v>
      </c>
      <c r="P51" s="246">
        <v>224720</v>
      </c>
      <c r="U51" s="246" t="s">
        <v>180</v>
      </c>
      <c r="V51" s="246">
        <f t="shared" si="15"/>
        <v>204720</v>
      </c>
      <c r="W51" s="246">
        <v>204720</v>
      </c>
      <c r="Y51" s="246" t="s">
        <v>181</v>
      </c>
      <c r="Z51" s="246">
        <f t="shared" si="16"/>
        <v>0</v>
      </c>
      <c r="AA51" s="246" t="s">
        <v>182</v>
      </c>
      <c r="AC51" s="246" t="s">
        <v>64</v>
      </c>
    </row>
    <row r="52" spans="1:32">
      <c r="A52" s="246" t="s">
        <v>35</v>
      </c>
      <c r="B52" s="246" t="s">
        <v>183</v>
      </c>
      <c r="E52" s="246">
        <v>10064</v>
      </c>
      <c r="F52" s="246" t="s">
        <v>184</v>
      </c>
      <c r="G52" s="246">
        <v>1230000</v>
      </c>
      <c r="H52" s="246">
        <f>G52*0.1236</f>
        <v>152028</v>
      </c>
      <c r="I52" s="246">
        <f>G52*0.1</f>
        <v>123000</v>
      </c>
      <c r="L52" s="246">
        <v>0</v>
      </c>
      <c r="M52" s="246">
        <v>0</v>
      </c>
      <c r="N52" s="246">
        <v>0</v>
      </c>
      <c r="O52" s="246" t="s">
        <v>32</v>
      </c>
      <c r="P52" s="246">
        <v>1382028</v>
      </c>
      <c r="U52" s="246" t="s">
        <v>185</v>
      </c>
      <c r="V52" s="246">
        <f t="shared" si="15"/>
        <v>1259028</v>
      </c>
      <c r="W52" s="246">
        <v>1259028</v>
      </c>
      <c r="Y52" s="246" t="s">
        <v>186</v>
      </c>
      <c r="Z52" s="246">
        <f t="shared" si="16"/>
        <v>0</v>
      </c>
      <c r="AC52" s="246" t="s">
        <v>187</v>
      </c>
    </row>
    <row r="53" spans="1:32">
      <c r="A53" s="246" t="s">
        <v>35</v>
      </c>
      <c r="B53" s="246" t="s">
        <v>44</v>
      </c>
      <c r="E53" s="246">
        <v>10065</v>
      </c>
      <c r="F53" s="246" t="s">
        <v>68</v>
      </c>
      <c r="G53" s="246">
        <v>37595</v>
      </c>
      <c r="H53" s="246">
        <v>0</v>
      </c>
      <c r="I53" s="246">
        <v>0</v>
      </c>
      <c r="L53" s="246">
        <v>0</v>
      </c>
      <c r="M53" s="246">
        <v>0</v>
      </c>
      <c r="N53" s="246">
        <v>0</v>
      </c>
      <c r="O53" s="246" t="s">
        <v>69</v>
      </c>
      <c r="P53" s="246">
        <v>37595</v>
      </c>
      <c r="U53" s="246" t="s">
        <v>188</v>
      </c>
      <c r="V53" s="246">
        <f t="shared" si="15"/>
        <v>37595</v>
      </c>
      <c r="W53" s="246">
        <v>37596</v>
      </c>
      <c r="Y53" s="246" t="s">
        <v>189</v>
      </c>
      <c r="Z53" s="246">
        <f t="shared" si="16"/>
        <v>-1</v>
      </c>
      <c r="AC53" s="246" t="s">
        <v>42</v>
      </c>
    </row>
    <row r="54" spans="1:32">
      <c r="A54" s="246" t="s">
        <v>35</v>
      </c>
      <c r="B54" s="246" t="s">
        <v>190</v>
      </c>
      <c r="E54" s="246">
        <v>10066</v>
      </c>
      <c r="F54" s="246" t="s">
        <v>191</v>
      </c>
      <c r="G54" s="246">
        <v>166854</v>
      </c>
      <c r="H54" s="246">
        <f>G54*0.1236</f>
        <v>20623.154399999999</v>
      </c>
      <c r="I54" s="246">
        <f>G54*0.1</f>
        <v>16685.400000000001</v>
      </c>
      <c r="L54" s="246">
        <v>0</v>
      </c>
      <c r="M54" s="246">
        <v>0</v>
      </c>
      <c r="N54" s="246">
        <v>0</v>
      </c>
      <c r="O54" s="246" t="s">
        <v>32</v>
      </c>
      <c r="P54" s="246">
        <v>185394</v>
      </c>
      <c r="U54" s="246" t="s">
        <v>192</v>
      </c>
      <c r="V54" s="246">
        <f t="shared" si="15"/>
        <v>170791.75440000001</v>
      </c>
      <c r="Z54" s="246">
        <f t="shared" si="16"/>
        <v>170791.75440000001</v>
      </c>
      <c r="AC54" s="246" t="s">
        <v>193</v>
      </c>
    </row>
    <row r="55" spans="1:32">
      <c r="A55" s="246" t="s">
        <v>35</v>
      </c>
      <c r="B55" s="246" t="s">
        <v>168</v>
      </c>
      <c r="E55" s="246">
        <v>10067</v>
      </c>
      <c r="G55" s="246">
        <v>517500</v>
      </c>
      <c r="H55" s="246">
        <f>G55*0.1236</f>
        <v>63963</v>
      </c>
      <c r="I55" s="246">
        <f>G55*0.1</f>
        <v>51750</v>
      </c>
      <c r="L55" s="246">
        <v>0</v>
      </c>
      <c r="M55" s="246">
        <v>0</v>
      </c>
      <c r="N55" s="246">
        <v>0</v>
      </c>
      <c r="O55" s="246" t="s">
        <v>32</v>
      </c>
      <c r="P55" s="246">
        <v>581463</v>
      </c>
      <c r="U55" s="246" t="s">
        <v>194</v>
      </c>
      <c r="V55" s="246">
        <f t="shared" si="15"/>
        <v>529713</v>
      </c>
      <c r="W55" s="246">
        <v>581463</v>
      </c>
      <c r="Z55" s="246">
        <f t="shared" si="16"/>
        <v>-51750</v>
      </c>
      <c r="AC55" s="246" t="s">
        <v>172</v>
      </c>
    </row>
    <row r="56" spans="1:32">
      <c r="A56" s="246" t="s">
        <v>35</v>
      </c>
      <c r="B56" s="251" t="s">
        <v>195</v>
      </c>
      <c r="C56" s="251"/>
      <c r="D56" s="251"/>
      <c r="E56" s="251">
        <v>10068</v>
      </c>
      <c r="F56" s="251" t="s">
        <v>196</v>
      </c>
      <c r="G56" s="251" t="s">
        <v>197</v>
      </c>
      <c r="H56" s="251">
        <v>0</v>
      </c>
      <c r="I56" s="251">
        <v>0</v>
      </c>
      <c r="J56" s="251"/>
      <c r="K56" s="251"/>
      <c r="L56" s="251">
        <v>0</v>
      </c>
      <c r="M56" s="251">
        <v>0</v>
      </c>
      <c r="N56" s="251">
        <v>0</v>
      </c>
      <c r="O56" s="251" t="s">
        <v>127</v>
      </c>
      <c r="P56" s="251" t="s">
        <v>197</v>
      </c>
      <c r="Q56" s="251"/>
      <c r="R56" s="251"/>
      <c r="S56" s="251"/>
      <c r="T56" s="251"/>
      <c r="U56" s="251" t="s">
        <v>198</v>
      </c>
      <c r="V56" s="251" t="e">
        <f t="shared" si="15"/>
        <v>#VALUE!</v>
      </c>
      <c r="W56" s="251" t="s">
        <v>199</v>
      </c>
      <c r="X56" s="251"/>
      <c r="Y56" s="251" t="s">
        <v>200</v>
      </c>
      <c r="Z56" s="251" t="e">
        <f t="shared" si="16"/>
        <v>#VALUE!</v>
      </c>
      <c r="AC56" s="251" t="s">
        <v>201</v>
      </c>
      <c r="AD56" s="251"/>
      <c r="AE56" s="251"/>
      <c r="AF56" s="251"/>
    </row>
    <row r="57" spans="1:32">
      <c r="A57" s="246" t="s">
        <v>35</v>
      </c>
      <c r="B57" s="251" t="s">
        <v>140</v>
      </c>
      <c r="C57" s="251"/>
      <c r="D57" s="251"/>
      <c r="E57" s="251">
        <v>10069</v>
      </c>
      <c r="F57" s="251" t="s">
        <v>202</v>
      </c>
      <c r="G57" s="251">
        <v>130000</v>
      </c>
      <c r="H57" s="251">
        <f t="shared" ref="H57:H63" si="17">G57*0.1236</f>
        <v>16068</v>
      </c>
      <c r="I57" s="251">
        <f t="shared" ref="I57:I63" si="18">G57*0.1</f>
        <v>13000</v>
      </c>
      <c r="J57" s="251"/>
      <c r="K57" s="251" t="s">
        <v>142</v>
      </c>
      <c r="L57" s="251">
        <v>0</v>
      </c>
      <c r="M57" s="251">
        <v>0</v>
      </c>
      <c r="N57" s="251">
        <v>0</v>
      </c>
      <c r="O57" s="251" t="s">
        <v>32</v>
      </c>
      <c r="P57" s="251">
        <v>146068</v>
      </c>
      <c r="Q57" s="251"/>
      <c r="R57" s="251"/>
      <c r="S57" s="251"/>
      <c r="T57" s="251"/>
      <c r="U57" s="251" t="s">
        <v>203</v>
      </c>
      <c r="V57" s="251">
        <f t="shared" si="15"/>
        <v>133068</v>
      </c>
      <c r="W57" s="251">
        <v>133068</v>
      </c>
      <c r="X57" s="251"/>
      <c r="Y57" s="251" t="s">
        <v>204</v>
      </c>
      <c r="Z57" s="251">
        <f t="shared" si="16"/>
        <v>0</v>
      </c>
      <c r="AC57" s="251" t="s">
        <v>64</v>
      </c>
      <c r="AD57" s="251"/>
      <c r="AE57" s="251"/>
      <c r="AF57" s="251"/>
    </row>
    <row r="58" spans="1:32">
      <c r="A58" s="246" t="s">
        <v>35</v>
      </c>
      <c r="B58" s="251" t="s">
        <v>140</v>
      </c>
      <c r="C58" s="251"/>
      <c r="D58" s="251"/>
      <c r="E58" s="251">
        <v>10070</v>
      </c>
      <c r="F58" s="251" t="s">
        <v>205</v>
      </c>
      <c r="G58" s="251">
        <v>130000</v>
      </c>
      <c r="H58" s="251">
        <f t="shared" si="17"/>
        <v>16068</v>
      </c>
      <c r="I58" s="251">
        <f t="shared" si="18"/>
        <v>13000</v>
      </c>
      <c r="J58" s="251"/>
      <c r="K58" s="251" t="s">
        <v>142</v>
      </c>
      <c r="L58" s="251">
        <v>0</v>
      </c>
      <c r="M58" s="251">
        <v>0</v>
      </c>
      <c r="N58" s="251">
        <v>0</v>
      </c>
      <c r="O58" s="251" t="s">
        <v>32</v>
      </c>
      <c r="P58" s="251">
        <v>146068</v>
      </c>
      <c r="Q58" s="251"/>
      <c r="R58" s="251"/>
      <c r="S58" s="251"/>
      <c r="T58" s="251"/>
      <c r="U58" s="251" t="s">
        <v>206</v>
      </c>
      <c r="V58" s="251">
        <f t="shared" si="15"/>
        <v>133068</v>
      </c>
      <c r="W58" s="251">
        <v>146068</v>
      </c>
      <c r="X58" s="251"/>
      <c r="Y58" s="251" t="s">
        <v>207</v>
      </c>
      <c r="Z58" s="251">
        <f t="shared" si="16"/>
        <v>-13000</v>
      </c>
      <c r="AC58" s="251" t="s">
        <v>64</v>
      </c>
      <c r="AD58" s="251"/>
      <c r="AE58" s="251"/>
      <c r="AF58" s="251"/>
    </row>
    <row r="59" spans="1:32" ht="60" customHeight="1">
      <c r="A59" s="246" t="s">
        <v>35</v>
      </c>
      <c r="B59" s="250" t="s">
        <v>208</v>
      </c>
      <c r="C59" s="250"/>
      <c r="D59" s="250"/>
      <c r="E59" s="246">
        <v>10071</v>
      </c>
      <c r="F59" s="246" t="s">
        <v>209</v>
      </c>
      <c r="G59" s="246">
        <v>540000</v>
      </c>
      <c r="H59" s="246">
        <f t="shared" si="17"/>
        <v>66744</v>
      </c>
      <c r="I59" s="246">
        <f t="shared" si="18"/>
        <v>54000</v>
      </c>
      <c r="L59" s="246">
        <v>0</v>
      </c>
      <c r="M59" s="246">
        <v>0</v>
      </c>
      <c r="N59" s="246">
        <v>0</v>
      </c>
      <c r="O59" s="246" t="s">
        <v>32</v>
      </c>
      <c r="P59" s="246">
        <v>606744</v>
      </c>
      <c r="U59" s="246" t="s">
        <v>189</v>
      </c>
      <c r="V59" s="246">
        <f t="shared" si="15"/>
        <v>552744</v>
      </c>
      <c r="Z59" s="246">
        <f t="shared" si="16"/>
        <v>552744</v>
      </c>
      <c r="AC59" s="246" t="s">
        <v>210</v>
      </c>
    </row>
    <row r="60" spans="1:32" ht="60" customHeight="1">
      <c r="A60" s="246" t="s">
        <v>35</v>
      </c>
      <c r="B60" s="251" t="s">
        <v>151</v>
      </c>
      <c r="C60" s="251"/>
      <c r="D60" s="251"/>
      <c r="E60" s="251">
        <v>10072</v>
      </c>
      <c r="F60" s="254" t="s">
        <v>211</v>
      </c>
      <c r="G60" s="251">
        <v>31500</v>
      </c>
      <c r="H60" s="251">
        <f t="shared" si="17"/>
        <v>3893.4</v>
      </c>
      <c r="I60" s="251">
        <f t="shared" si="18"/>
        <v>3150</v>
      </c>
      <c r="J60" s="251"/>
      <c r="K60" s="251"/>
      <c r="L60" s="251">
        <v>0</v>
      </c>
      <c r="M60" s="251">
        <v>0</v>
      </c>
      <c r="N60" s="251">
        <v>0</v>
      </c>
      <c r="O60" s="251" t="s">
        <v>32</v>
      </c>
      <c r="P60" s="251">
        <v>35393</v>
      </c>
      <c r="Q60" s="251"/>
      <c r="R60" s="251"/>
      <c r="S60" s="251"/>
      <c r="T60" s="251"/>
      <c r="U60" s="251" t="s">
        <v>212</v>
      </c>
      <c r="V60" s="251">
        <f t="shared" si="15"/>
        <v>32243.4</v>
      </c>
      <c r="W60" s="251">
        <v>32243</v>
      </c>
      <c r="X60" s="251"/>
      <c r="Y60" s="251" t="s">
        <v>213</v>
      </c>
      <c r="Z60" s="251">
        <f t="shared" si="16"/>
        <v>0.40000000000145519</v>
      </c>
      <c r="AC60" s="251" t="s">
        <v>64</v>
      </c>
      <c r="AD60" s="251"/>
      <c r="AE60" s="251"/>
      <c r="AF60" s="251"/>
    </row>
    <row r="61" spans="1:32">
      <c r="A61" s="246" t="s">
        <v>35</v>
      </c>
      <c r="B61" s="246" t="s">
        <v>117</v>
      </c>
      <c r="E61" s="246">
        <v>10073</v>
      </c>
      <c r="F61" s="246" t="s">
        <v>214</v>
      </c>
      <c r="G61" s="246">
        <v>420000</v>
      </c>
      <c r="H61" s="246">
        <f t="shared" si="17"/>
        <v>51912</v>
      </c>
      <c r="I61" s="246">
        <f t="shared" si="18"/>
        <v>42000</v>
      </c>
      <c r="L61" s="246">
        <v>0</v>
      </c>
      <c r="M61" s="246">
        <v>0</v>
      </c>
      <c r="N61" s="246">
        <v>0</v>
      </c>
      <c r="O61" s="246" t="s">
        <v>32</v>
      </c>
      <c r="V61" s="246">
        <f t="shared" si="15"/>
        <v>429912</v>
      </c>
      <c r="Z61" s="246">
        <f t="shared" si="16"/>
        <v>429912</v>
      </c>
      <c r="AC61" s="246" t="s">
        <v>210</v>
      </c>
    </row>
    <row r="62" spans="1:32">
      <c r="A62" s="246" t="s">
        <v>35</v>
      </c>
      <c r="B62" s="246" t="s">
        <v>190</v>
      </c>
      <c r="E62" s="246">
        <v>10074</v>
      </c>
      <c r="F62" s="246" t="s">
        <v>215</v>
      </c>
      <c r="G62" s="246">
        <v>60000</v>
      </c>
      <c r="H62" s="246">
        <f t="shared" si="17"/>
        <v>7416</v>
      </c>
      <c r="I62" s="246">
        <f t="shared" si="18"/>
        <v>6000</v>
      </c>
      <c r="L62" s="246">
        <v>0</v>
      </c>
      <c r="M62" s="246">
        <v>0</v>
      </c>
      <c r="N62" s="246">
        <v>0</v>
      </c>
      <c r="O62" s="246" t="s">
        <v>32</v>
      </c>
      <c r="P62" s="246">
        <v>67416</v>
      </c>
      <c r="U62" s="246" t="s">
        <v>216</v>
      </c>
      <c r="V62" s="246">
        <f t="shared" si="15"/>
        <v>61416</v>
      </c>
      <c r="Z62" s="246">
        <f t="shared" si="16"/>
        <v>61416</v>
      </c>
      <c r="AC62" s="246" t="s">
        <v>210</v>
      </c>
    </row>
    <row r="63" spans="1:32">
      <c r="A63" s="246" t="s">
        <v>35</v>
      </c>
      <c r="B63" s="246" t="s">
        <v>190</v>
      </c>
      <c r="E63" s="246">
        <v>10075</v>
      </c>
      <c r="F63" s="246" t="s">
        <v>217</v>
      </c>
      <c r="G63" s="246">
        <v>60000</v>
      </c>
      <c r="H63" s="246">
        <f t="shared" si="17"/>
        <v>7416</v>
      </c>
      <c r="I63" s="246">
        <f t="shared" si="18"/>
        <v>6000</v>
      </c>
      <c r="L63" s="246">
        <v>0</v>
      </c>
      <c r="M63" s="246">
        <v>0</v>
      </c>
      <c r="N63" s="246">
        <v>0</v>
      </c>
      <c r="O63" s="246" t="s">
        <v>32</v>
      </c>
      <c r="P63" s="246">
        <v>67416</v>
      </c>
      <c r="U63" s="246" t="s">
        <v>216</v>
      </c>
      <c r="V63" s="246">
        <f t="shared" si="15"/>
        <v>61416</v>
      </c>
      <c r="Z63" s="246">
        <f t="shared" si="16"/>
        <v>61416</v>
      </c>
      <c r="AC63" s="246" t="s">
        <v>210</v>
      </c>
    </row>
    <row r="64" spans="1:32">
      <c r="A64" s="246" t="s">
        <v>35</v>
      </c>
      <c r="B64" s="246" t="s">
        <v>84</v>
      </c>
      <c r="E64" s="246">
        <v>10076</v>
      </c>
      <c r="F64" s="246" t="s">
        <v>68</v>
      </c>
      <c r="G64" s="246">
        <v>7157</v>
      </c>
      <c r="H64" s="246">
        <v>0</v>
      </c>
      <c r="I64" s="246">
        <v>0</v>
      </c>
      <c r="L64" s="246">
        <v>0</v>
      </c>
      <c r="M64" s="246">
        <v>0</v>
      </c>
      <c r="N64" s="246">
        <v>0</v>
      </c>
      <c r="O64" s="246" t="s">
        <v>69</v>
      </c>
      <c r="P64" s="246">
        <v>7157</v>
      </c>
      <c r="U64" s="246" t="s">
        <v>218</v>
      </c>
      <c r="V64" s="246">
        <f t="shared" si="15"/>
        <v>7157</v>
      </c>
      <c r="W64" s="246">
        <v>7157</v>
      </c>
      <c r="Y64" s="246" t="s">
        <v>219</v>
      </c>
      <c r="Z64" s="246">
        <f t="shared" si="16"/>
        <v>0</v>
      </c>
      <c r="AC64" s="246" t="s">
        <v>64</v>
      </c>
    </row>
    <row r="65" spans="1:29">
      <c r="A65" s="246" t="s">
        <v>35</v>
      </c>
      <c r="B65" s="246" t="s">
        <v>220</v>
      </c>
      <c r="E65" s="246">
        <v>10077</v>
      </c>
      <c r="F65" s="246" t="s">
        <v>221</v>
      </c>
      <c r="G65" s="246">
        <v>1000000</v>
      </c>
      <c r="H65" s="246">
        <f>G65*0.1236</f>
        <v>123600</v>
      </c>
      <c r="I65" s="246">
        <f>G65*0.1</f>
        <v>100000</v>
      </c>
      <c r="L65" s="246">
        <v>0</v>
      </c>
      <c r="M65" s="246">
        <v>0</v>
      </c>
      <c r="N65" s="246">
        <v>0</v>
      </c>
      <c r="O65" s="246" t="s">
        <v>32</v>
      </c>
      <c r="P65" s="246">
        <v>1123600</v>
      </c>
      <c r="U65" s="246" t="s">
        <v>222</v>
      </c>
      <c r="V65" s="246">
        <f t="shared" si="15"/>
        <v>1023600</v>
      </c>
      <c r="Z65" s="246">
        <f t="shared" si="16"/>
        <v>1023600</v>
      </c>
      <c r="AC65" s="246" t="s">
        <v>223</v>
      </c>
    </row>
    <row r="66" spans="1:29">
      <c r="A66" s="246" t="s">
        <v>35</v>
      </c>
      <c r="B66" s="246" t="s">
        <v>104</v>
      </c>
      <c r="E66" s="246">
        <v>10078</v>
      </c>
      <c r="F66" s="246" t="s">
        <v>202</v>
      </c>
      <c r="G66" s="246">
        <v>460000</v>
      </c>
      <c r="H66" s="246">
        <f>G66*0.1236</f>
        <v>56856</v>
      </c>
      <c r="I66" s="246">
        <f>G66*0.1</f>
        <v>46000</v>
      </c>
      <c r="L66" s="246">
        <v>0</v>
      </c>
      <c r="M66" s="246">
        <v>0</v>
      </c>
      <c r="N66" s="246">
        <v>0</v>
      </c>
      <c r="O66" s="246" t="s">
        <v>32</v>
      </c>
      <c r="P66" s="246">
        <v>516856</v>
      </c>
      <c r="U66" s="246" t="s">
        <v>224</v>
      </c>
      <c r="V66" s="246">
        <f t="shared" si="15"/>
        <v>470856</v>
      </c>
      <c r="W66" s="246">
        <v>465170</v>
      </c>
      <c r="Y66" s="246" t="s">
        <v>225</v>
      </c>
      <c r="Z66" s="246">
        <f t="shared" si="16"/>
        <v>5686</v>
      </c>
      <c r="AC66" s="246" t="s">
        <v>64</v>
      </c>
    </row>
    <row r="67" spans="1:29">
      <c r="A67" s="246" t="s">
        <v>35</v>
      </c>
      <c r="B67" s="246" t="s">
        <v>220</v>
      </c>
      <c r="E67" s="246">
        <v>10079</v>
      </c>
      <c r="F67" s="246" t="s">
        <v>226</v>
      </c>
      <c r="G67" s="246">
        <v>300000</v>
      </c>
      <c r="H67" s="246">
        <f>G67*0.1236</f>
        <v>37080</v>
      </c>
      <c r="I67" s="246">
        <f>G67*0.1</f>
        <v>30000</v>
      </c>
      <c r="L67" s="246">
        <v>0</v>
      </c>
      <c r="M67" s="246">
        <v>0</v>
      </c>
      <c r="N67" s="246">
        <v>0</v>
      </c>
      <c r="O67" s="246" t="s">
        <v>32</v>
      </c>
      <c r="P67" s="246">
        <v>337080</v>
      </c>
      <c r="U67" s="246" t="s">
        <v>227</v>
      </c>
      <c r="V67" s="246">
        <f t="shared" si="15"/>
        <v>307080</v>
      </c>
      <c r="Z67" s="246">
        <f t="shared" si="16"/>
        <v>307080</v>
      </c>
      <c r="AC67" s="246" t="s">
        <v>223</v>
      </c>
    </row>
    <row r="68" spans="1:29">
      <c r="A68" s="246" t="s">
        <v>35</v>
      </c>
      <c r="B68" s="246" t="s">
        <v>132</v>
      </c>
      <c r="C68" s="246" t="s">
        <v>45</v>
      </c>
      <c r="E68" s="246">
        <v>10080</v>
      </c>
      <c r="F68" s="246" t="s">
        <v>228</v>
      </c>
      <c r="G68" s="246">
        <v>175000</v>
      </c>
      <c r="H68" s="246">
        <f>G68*0.1236</f>
        <v>21630</v>
      </c>
      <c r="I68" s="246">
        <f>G68*0.1</f>
        <v>17500</v>
      </c>
      <c r="L68" s="246">
        <v>0</v>
      </c>
      <c r="M68" s="246">
        <v>0</v>
      </c>
      <c r="N68" s="246">
        <v>0</v>
      </c>
      <c r="O68" s="246" t="s">
        <v>32</v>
      </c>
      <c r="P68" s="246">
        <v>196630</v>
      </c>
      <c r="U68" s="246" t="s">
        <v>229</v>
      </c>
      <c r="V68" s="246">
        <f t="shared" si="15"/>
        <v>179130</v>
      </c>
      <c r="W68" s="246">
        <f>V68</f>
        <v>179130</v>
      </c>
      <c r="Y68" s="246" t="s">
        <v>230</v>
      </c>
      <c r="Z68" s="246">
        <f t="shared" si="16"/>
        <v>0</v>
      </c>
      <c r="AC68" s="246" t="s">
        <v>231</v>
      </c>
    </row>
    <row r="69" spans="1:29">
      <c r="A69" s="246" t="s">
        <v>35</v>
      </c>
      <c r="B69" s="246" t="s">
        <v>232</v>
      </c>
      <c r="E69" s="246">
        <v>10081</v>
      </c>
      <c r="F69" s="246" t="s">
        <v>233</v>
      </c>
      <c r="G69" s="246">
        <v>224720</v>
      </c>
      <c r="H69" s="246">
        <v>0</v>
      </c>
      <c r="I69" s="246">
        <v>0</v>
      </c>
      <c r="L69" s="246">
        <v>0</v>
      </c>
      <c r="M69" s="246">
        <v>0</v>
      </c>
      <c r="N69" s="246">
        <v>0</v>
      </c>
      <c r="O69" s="246" t="s">
        <v>127</v>
      </c>
      <c r="P69" s="246">
        <v>224720</v>
      </c>
      <c r="U69" s="246" t="s">
        <v>234</v>
      </c>
      <c r="V69" s="246">
        <f t="shared" si="15"/>
        <v>224720</v>
      </c>
      <c r="W69" s="246">
        <v>224720</v>
      </c>
      <c r="Y69" s="246" t="s">
        <v>235</v>
      </c>
      <c r="Z69" s="246">
        <f t="shared" si="16"/>
        <v>0</v>
      </c>
      <c r="AA69" s="246" t="s">
        <v>236</v>
      </c>
      <c r="AC69" s="246" t="s">
        <v>64</v>
      </c>
    </row>
    <row r="70" spans="1:29">
      <c r="A70" s="246" t="s">
        <v>35</v>
      </c>
      <c r="B70" s="246" t="s">
        <v>84</v>
      </c>
      <c r="E70" s="246">
        <v>10082</v>
      </c>
      <c r="F70" s="246" t="s">
        <v>68</v>
      </c>
      <c r="G70" s="246">
        <v>5570</v>
      </c>
      <c r="H70" s="246">
        <v>0</v>
      </c>
      <c r="I70" s="246">
        <v>0</v>
      </c>
      <c r="L70" s="246">
        <v>0</v>
      </c>
      <c r="M70" s="246">
        <v>0</v>
      </c>
      <c r="N70" s="246">
        <v>0</v>
      </c>
      <c r="O70" s="246" t="s">
        <v>69</v>
      </c>
      <c r="P70" s="246">
        <v>5570</v>
      </c>
      <c r="U70" s="246" t="s">
        <v>237</v>
      </c>
      <c r="V70" s="246">
        <f t="shared" si="15"/>
        <v>5570</v>
      </c>
      <c r="W70" s="246">
        <v>5570</v>
      </c>
      <c r="Z70" s="246">
        <f t="shared" si="16"/>
        <v>0</v>
      </c>
      <c r="AC70" s="246" t="s">
        <v>64</v>
      </c>
    </row>
    <row r="71" spans="1:29">
      <c r="A71" s="246" t="s">
        <v>35</v>
      </c>
      <c r="B71" s="246" t="s">
        <v>140</v>
      </c>
      <c r="E71" s="246">
        <v>10083</v>
      </c>
      <c r="F71" s="246" t="s">
        <v>238</v>
      </c>
      <c r="G71" s="246">
        <v>130000</v>
      </c>
      <c r="H71" s="246">
        <f>G71*0.1236</f>
        <v>16068</v>
      </c>
      <c r="I71" s="246">
        <f>G71*0.1</f>
        <v>13000</v>
      </c>
      <c r="L71" s="246">
        <v>0</v>
      </c>
      <c r="M71" s="246">
        <v>0</v>
      </c>
      <c r="N71" s="246">
        <v>0</v>
      </c>
      <c r="O71" s="246" t="s">
        <v>32</v>
      </c>
      <c r="P71" s="246">
        <v>146068</v>
      </c>
      <c r="U71" s="246" t="s">
        <v>239</v>
      </c>
      <c r="V71" s="246">
        <f t="shared" si="15"/>
        <v>133068</v>
      </c>
      <c r="W71" s="246">
        <v>146068</v>
      </c>
      <c r="Z71" s="246">
        <f t="shared" si="16"/>
        <v>-13000</v>
      </c>
      <c r="AC71" s="246" t="s">
        <v>64</v>
      </c>
    </row>
    <row r="72" spans="1:29">
      <c r="A72" s="246" t="s">
        <v>35</v>
      </c>
      <c r="B72" s="246" t="s">
        <v>240</v>
      </c>
      <c r="E72" s="246">
        <v>10084</v>
      </c>
      <c r="F72" s="246" t="s">
        <v>68</v>
      </c>
      <c r="G72" s="246" t="s">
        <v>241</v>
      </c>
      <c r="H72" s="246">
        <v>0</v>
      </c>
      <c r="I72" s="246">
        <v>0</v>
      </c>
      <c r="L72" s="246">
        <v>0</v>
      </c>
      <c r="M72" s="246">
        <v>0</v>
      </c>
      <c r="N72" s="246">
        <v>0</v>
      </c>
      <c r="O72" s="246" t="s">
        <v>69</v>
      </c>
      <c r="P72" s="246" t="s">
        <v>241</v>
      </c>
      <c r="U72" s="246" t="s">
        <v>242</v>
      </c>
      <c r="V72" s="246" t="e">
        <f t="shared" si="15"/>
        <v>#VALUE!</v>
      </c>
      <c r="W72" s="246" t="s">
        <v>241</v>
      </c>
      <c r="Z72" s="246" t="e">
        <f t="shared" si="16"/>
        <v>#VALUE!</v>
      </c>
      <c r="AC72" s="246" t="s">
        <v>42</v>
      </c>
    </row>
    <row r="73" spans="1:29">
      <c r="A73" s="246" t="s">
        <v>35</v>
      </c>
      <c r="B73" s="246" t="s">
        <v>240</v>
      </c>
      <c r="E73" s="246">
        <v>10085</v>
      </c>
      <c r="F73" s="246" t="s">
        <v>243</v>
      </c>
      <c r="G73" s="246" t="s">
        <v>129</v>
      </c>
      <c r="H73" s="246">
        <v>0</v>
      </c>
      <c r="I73" s="246">
        <v>0</v>
      </c>
      <c r="L73" s="246">
        <v>0</v>
      </c>
      <c r="M73" s="246">
        <v>0</v>
      </c>
      <c r="N73" s="246">
        <v>0</v>
      </c>
      <c r="O73" s="246" t="s">
        <v>127</v>
      </c>
      <c r="P73" s="246" t="s">
        <v>129</v>
      </c>
      <c r="U73" s="246" t="s">
        <v>244</v>
      </c>
      <c r="V73" s="246" t="e">
        <f t="shared" si="15"/>
        <v>#VALUE!</v>
      </c>
      <c r="W73" s="246" t="s">
        <v>129</v>
      </c>
      <c r="Z73" s="246" t="e">
        <f t="shared" si="16"/>
        <v>#VALUE!</v>
      </c>
      <c r="AC73" s="246" t="s">
        <v>42</v>
      </c>
    </row>
    <row r="74" spans="1:29">
      <c r="A74" s="246" t="s">
        <v>35</v>
      </c>
      <c r="B74" s="246" t="s">
        <v>168</v>
      </c>
      <c r="E74" s="246">
        <v>10086</v>
      </c>
      <c r="F74" s="246" t="s">
        <v>245</v>
      </c>
      <c r="G74" s="246">
        <v>172500</v>
      </c>
      <c r="H74" s="246">
        <f>G74*0.1236</f>
        <v>21321</v>
      </c>
      <c r="I74" s="246">
        <f>G74*0.1</f>
        <v>17250</v>
      </c>
      <c r="L74" s="246">
        <v>0</v>
      </c>
      <c r="M74" s="246">
        <v>0</v>
      </c>
      <c r="N74" s="246">
        <v>0</v>
      </c>
      <c r="O74" s="246" t="s">
        <v>32</v>
      </c>
      <c r="P74" s="246">
        <v>193821</v>
      </c>
      <c r="U74" s="246" t="s">
        <v>246</v>
      </c>
      <c r="V74" s="246">
        <f t="shared" si="15"/>
        <v>176571</v>
      </c>
      <c r="W74" s="246">
        <v>193821</v>
      </c>
      <c r="Z74" s="246">
        <f t="shared" si="16"/>
        <v>-17250</v>
      </c>
      <c r="AC74" s="246" t="s">
        <v>172</v>
      </c>
    </row>
    <row r="75" spans="1:29">
      <c r="A75" s="246" t="s">
        <v>35</v>
      </c>
      <c r="B75" s="246" t="s">
        <v>104</v>
      </c>
      <c r="E75" s="246">
        <v>10087</v>
      </c>
      <c r="F75" s="246" t="s">
        <v>247</v>
      </c>
      <c r="G75" s="246">
        <v>460000</v>
      </c>
      <c r="H75" s="246">
        <f>G75*0.1236</f>
        <v>56856</v>
      </c>
      <c r="I75" s="246">
        <f>G75*0.1</f>
        <v>46000</v>
      </c>
      <c r="K75" s="246" t="s">
        <v>142</v>
      </c>
      <c r="L75" s="246">
        <v>0</v>
      </c>
      <c r="M75" s="246">
        <v>0</v>
      </c>
      <c r="N75" s="246">
        <v>0</v>
      </c>
      <c r="O75" s="246" t="s">
        <v>32</v>
      </c>
      <c r="P75" s="246">
        <v>516856</v>
      </c>
      <c r="U75" s="246" t="s">
        <v>248</v>
      </c>
      <c r="V75" s="246">
        <f t="shared" si="15"/>
        <v>470856</v>
      </c>
      <c r="W75" s="246">
        <v>470856</v>
      </c>
      <c r="Y75" s="246" t="s">
        <v>249</v>
      </c>
      <c r="Z75" s="246">
        <f t="shared" si="16"/>
        <v>0</v>
      </c>
      <c r="AC75" s="246" t="s">
        <v>64</v>
      </c>
    </row>
    <row r="76" spans="1:29">
      <c r="A76" s="246" t="s">
        <v>35</v>
      </c>
      <c r="B76" s="246" t="s">
        <v>36</v>
      </c>
      <c r="E76" s="248">
        <v>10088</v>
      </c>
      <c r="F76" s="246" t="s">
        <v>250</v>
      </c>
      <c r="G76" s="246">
        <v>192500</v>
      </c>
      <c r="H76" s="246">
        <f>G76*0.1236</f>
        <v>23793</v>
      </c>
      <c r="I76" s="246">
        <f>G76*0.1</f>
        <v>19250</v>
      </c>
      <c r="L76" s="246">
        <v>0</v>
      </c>
      <c r="M76" s="246">
        <v>0</v>
      </c>
      <c r="N76" s="246">
        <v>0</v>
      </c>
      <c r="O76" s="246" t="s">
        <v>32</v>
      </c>
      <c r="P76" s="246">
        <v>216293</v>
      </c>
      <c r="U76" s="246" t="s">
        <v>251</v>
      </c>
      <c r="V76" s="246">
        <f t="shared" si="15"/>
        <v>197043</v>
      </c>
      <c r="Y76" s="246" t="s">
        <v>248</v>
      </c>
      <c r="Z76" s="246">
        <f t="shared" si="16"/>
        <v>197043</v>
      </c>
      <c r="AC76" s="246" t="s">
        <v>252</v>
      </c>
    </row>
    <row r="77" spans="1:29">
      <c r="A77" s="246" t="s">
        <v>35</v>
      </c>
      <c r="B77" s="246" t="s">
        <v>36</v>
      </c>
      <c r="E77" s="248">
        <v>10089</v>
      </c>
      <c r="F77" s="246" t="s">
        <v>253</v>
      </c>
      <c r="G77" s="246">
        <v>192500</v>
      </c>
      <c r="H77" s="246">
        <f>G77*0.1236</f>
        <v>23793</v>
      </c>
      <c r="I77" s="246">
        <f>G77*0.1</f>
        <v>19250</v>
      </c>
      <c r="L77" s="246">
        <v>0</v>
      </c>
      <c r="M77" s="246">
        <v>0</v>
      </c>
      <c r="N77" s="246">
        <v>0</v>
      </c>
      <c r="O77" s="246" t="s">
        <v>32</v>
      </c>
      <c r="P77" s="246">
        <v>216293</v>
      </c>
      <c r="U77" s="246" t="s">
        <v>251</v>
      </c>
      <c r="V77" s="246">
        <f t="shared" si="15"/>
        <v>197043</v>
      </c>
      <c r="Y77" s="246" t="s">
        <v>254</v>
      </c>
      <c r="Z77" s="246">
        <f t="shared" si="16"/>
        <v>197043</v>
      </c>
      <c r="AC77" s="246" t="s">
        <v>252</v>
      </c>
    </row>
    <row r="78" spans="1:29">
      <c r="A78" s="246" t="s">
        <v>35</v>
      </c>
      <c r="B78" s="246" t="s">
        <v>140</v>
      </c>
      <c r="E78" s="246">
        <v>10090</v>
      </c>
      <c r="F78" s="246" t="s">
        <v>255</v>
      </c>
      <c r="G78" s="246">
        <v>130000</v>
      </c>
      <c r="H78" s="246">
        <f>G78*0.1236</f>
        <v>16068</v>
      </c>
      <c r="I78" s="246">
        <f>G78*0.1</f>
        <v>13000</v>
      </c>
      <c r="L78" s="246">
        <v>0</v>
      </c>
      <c r="M78" s="246">
        <v>0</v>
      </c>
      <c r="N78" s="246">
        <v>0</v>
      </c>
      <c r="O78" s="246" t="s">
        <v>32</v>
      </c>
      <c r="P78" s="246">
        <v>146068</v>
      </c>
      <c r="U78" s="246" t="s">
        <v>256</v>
      </c>
      <c r="V78" s="246">
        <f t="shared" si="15"/>
        <v>133068</v>
      </c>
      <c r="W78" s="246">
        <v>146068</v>
      </c>
      <c r="Z78" s="246">
        <f t="shared" si="16"/>
        <v>-13000</v>
      </c>
      <c r="AC78" s="246" t="s">
        <v>64</v>
      </c>
    </row>
    <row r="79" spans="1:29">
      <c r="A79" s="246" t="s">
        <v>35</v>
      </c>
      <c r="B79" s="246" t="s">
        <v>75</v>
      </c>
      <c r="E79" s="246">
        <v>10091</v>
      </c>
      <c r="F79" s="246" t="s">
        <v>257</v>
      </c>
      <c r="G79" s="246" t="s">
        <v>258</v>
      </c>
      <c r="H79" s="246">
        <v>0</v>
      </c>
      <c r="I79" s="246">
        <v>0</v>
      </c>
      <c r="L79" s="246">
        <v>0</v>
      </c>
      <c r="M79" s="246">
        <v>0</v>
      </c>
      <c r="N79" s="246">
        <v>0</v>
      </c>
      <c r="O79" s="246" t="s">
        <v>127</v>
      </c>
      <c r="P79" s="246" t="s">
        <v>258</v>
      </c>
      <c r="U79" s="246" t="s">
        <v>259</v>
      </c>
      <c r="V79" s="246" t="e">
        <f t="shared" si="15"/>
        <v>#VALUE!</v>
      </c>
      <c r="W79" s="246" t="s">
        <v>258</v>
      </c>
      <c r="Z79" s="246" t="e">
        <f t="shared" si="16"/>
        <v>#VALUE!</v>
      </c>
      <c r="AC79" s="246" t="s">
        <v>64</v>
      </c>
    </row>
    <row r="80" spans="1:29">
      <c r="A80" s="246" t="s">
        <v>35</v>
      </c>
      <c r="B80" s="246" t="s">
        <v>75</v>
      </c>
      <c r="E80" s="246">
        <v>10092</v>
      </c>
      <c r="F80" s="246" t="s">
        <v>260</v>
      </c>
      <c r="G80" s="246" t="s">
        <v>261</v>
      </c>
      <c r="H80" s="246">
        <v>0</v>
      </c>
      <c r="I80" s="246">
        <v>0</v>
      </c>
      <c r="L80" s="246">
        <v>0</v>
      </c>
      <c r="M80" s="246">
        <v>0</v>
      </c>
      <c r="N80" s="246">
        <v>0</v>
      </c>
      <c r="O80" s="246" t="s">
        <v>127</v>
      </c>
      <c r="P80" s="246" t="s">
        <v>261</v>
      </c>
      <c r="U80" s="246" t="s">
        <v>259</v>
      </c>
      <c r="V80" s="246" t="e">
        <f t="shared" si="15"/>
        <v>#VALUE!</v>
      </c>
      <c r="W80" s="255" t="s">
        <v>262</v>
      </c>
      <c r="Z80" s="246" t="e">
        <f t="shared" si="16"/>
        <v>#VALUE!</v>
      </c>
      <c r="AC80" s="246" t="s">
        <v>263</v>
      </c>
    </row>
    <row r="81" spans="1:30">
      <c r="A81" s="246" t="s">
        <v>35</v>
      </c>
      <c r="B81" s="246" t="s">
        <v>140</v>
      </c>
      <c r="E81" s="246">
        <v>10093</v>
      </c>
      <c r="F81" s="246" t="s">
        <v>264</v>
      </c>
      <c r="G81" s="246">
        <v>130000</v>
      </c>
      <c r="H81" s="246">
        <f>G81*0.1236</f>
        <v>16068</v>
      </c>
      <c r="I81" s="246">
        <f>G81*0.1</f>
        <v>13000</v>
      </c>
      <c r="L81" s="246">
        <v>0</v>
      </c>
      <c r="M81" s="246">
        <v>0</v>
      </c>
      <c r="N81" s="246">
        <v>0</v>
      </c>
      <c r="O81" s="246" t="s">
        <v>32</v>
      </c>
      <c r="P81" s="246">
        <v>146068</v>
      </c>
      <c r="U81" s="246" t="s">
        <v>256</v>
      </c>
      <c r="V81" s="246">
        <f t="shared" si="15"/>
        <v>133068</v>
      </c>
      <c r="W81" s="246">
        <v>146068</v>
      </c>
      <c r="Z81" s="246">
        <f t="shared" si="16"/>
        <v>-13000</v>
      </c>
      <c r="AC81" s="246" t="s">
        <v>64</v>
      </c>
    </row>
    <row r="82" spans="1:30">
      <c r="A82" s="246" t="s">
        <v>35</v>
      </c>
      <c r="B82" s="246" t="s">
        <v>36</v>
      </c>
      <c r="E82" s="246">
        <v>10094</v>
      </c>
      <c r="F82" s="246" t="s">
        <v>265</v>
      </c>
      <c r="G82" s="246">
        <v>352500</v>
      </c>
      <c r="H82" s="246">
        <f>G82*0.1236</f>
        <v>43569</v>
      </c>
      <c r="I82" s="246">
        <f>G82*0.1</f>
        <v>35250</v>
      </c>
      <c r="K82" s="246" t="s">
        <v>142</v>
      </c>
      <c r="L82" s="246">
        <v>0</v>
      </c>
      <c r="M82" s="246">
        <v>0</v>
      </c>
      <c r="N82" s="246">
        <v>59925</v>
      </c>
      <c r="O82" s="246" t="s">
        <v>32</v>
      </c>
      <c r="P82" s="246">
        <v>412415</v>
      </c>
      <c r="U82" s="246" t="s">
        <v>266</v>
      </c>
      <c r="V82" s="246">
        <f t="shared" si="15"/>
        <v>420744</v>
      </c>
      <c r="W82" s="246" t="s">
        <v>267</v>
      </c>
      <c r="Y82" s="246" t="s">
        <v>266</v>
      </c>
      <c r="Z82" s="246">
        <f t="shared" si="16"/>
        <v>59925</v>
      </c>
      <c r="AC82" s="246" t="s">
        <v>268</v>
      </c>
    </row>
    <row r="83" spans="1:30" ht="45" customHeight="1">
      <c r="A83" s="246" t="s">
        <v>35</v>
      </c>
      <c r="B83" s="246" t="s">
        <v>36</v>
      </c>
      <c r="E83" s="246">
        <v>10094</v>
      </c>
      <c r="F83" s="250" t="s">
        <v>269</v>
      </c>
      <c r="G83" s="246">
        <v>752000</v>
      </c>
      <c r="H83" s="246">
        <f>G83*0.1236</f>
        <v>92947.199999999997</v>
      </c>
      <c r="I83" s="246">
        <f>G83*0.1</f>
        <v>75200</v>
      </c>
      <c r="L83" s="246">
        <v>0</v>
      </c>
      <c r="M83" s="246">
        <v>0</v>
      </c>
      <c r="N83" s="246">
        <v>0</v>
      </c>
      <c r="O83" s="246" t="s">
        <v>32</v>
      </c>
      <c r="P83" s="246">
        <v>844947</v>
      </c>
      <c r="U83" s="246" t="s">
        <v>251</v>
      </c>
      <c r="V83" s="246">
        <f>G83+H83-I83+L83</f>
        <v>769747.2</v>
      </c>
    </row>
    <row r="84" spans="1:30">
      <c r="A84" s="246" t="s">
        <v>35</v>
      </c>
      <c r="B84" s="246" t="s">
        <v>36</v>
      </c>
      <c r="E84" s="248">
        <v>10095</v>
      </c>
      <c r="F84" s="246" t="s">
        <v>270</v>
      </c>
      <c r="G84" s="246">
        <v>165000</v>
      </c>
      <c r="H84" s="246">
        <f>G84*0.1236</f>
        <v>20394</v>
      </c>
      <c r="I84" s="246">
        <f>G84*0.1</f>
        <v>16500</v>
      </c>
      <c r="K84" s="246" t="s">
        <v>142</v>
      </c>
      <c r="L84" s="246">
        <v>0</v>
      </c>
      <c r="M84" s="246">
        <v>0</v>
      </c>
      <c r="N84" s="246">
        <v>0</v>
      </c>
      <c r="O84" s="246" t="s">
        <v>32</v>
      </c>
      <c r="P84" s="246">
        <v>185394</v>
      </c>
      <c r="U84" s="246" t="s">
        <v>251</v>
      </c>
      <c r="V84" s="246">
        <f t="shared" ref="V84:V107" si="19">G84+H84-I84+N84</f>
        <v>168894</v>
      </c>
      <c r="Y84" s="246" t="s">
        <v>271</v>
      </c>
      <c r="Z84" s="246">
        <f t="shared" ref="Z84:Z116" si="20">V84-W84</f>
        <v>168894</v>
      </c>
      <c r="AC84" s="246" t="s">
        <v>272</v>
      </c>
    </row>
    <row r="85" spans="1:30">
      <c r="A85" s="246" t="s">
        <v>35</v>
      </c>
      <c r="B85" s="246" t="s">
        <v>273</v>
      </c>
      <c r="E85" s="246">
        <v>10096</v>
      </c>
      <c r="F85" s="246" t="s">
        <v>274</v>
      </c>
      <c r="G85" s="246">
        <v>100000</v>
      </c>
      <c r="H85" s="246">
        <f>G85*0.1236</f>
        <v>12360</v>
      </c>
      <c r="I85" s="246">
        <f>G85*0.1</f>
        <v>10000</v>
      </c>
      <c r="K85" s="246" t="s">
        <v>142</v>
      </c>
      <c r="L85" s="246">
        <v>0</v>
      </c>
      <c r="M85" s="246">
        <v>0</v>
      </c>
      <c r="N85" s="246">
        <v>0</v>
      </c>
      <c r="O85" s="246" t="s">
        <v>32</v>
      </c>
      <c r="P85" s="246">
        <v>112360</v>
      </c>
      <c r="U85" s="246" t="s">
        <v>275</v>
      </c>
      <c r="V85" s="246">
        <f t="shared" si="19"/>
        <v>102360</v>
      </c>
      <c r="W85" s="246">
        <v>112360</v>
      </c>
      <c r="Z85" s="246">
        <f t="shared" si="20"/>
        <v>-10000</v>
      </c>
      <c r="AC85" s="246" t="s">
        <v>64</v>
      </c>
    </row>
    <row r="86" spans="1:30">
      <c r="A86" s="246" t="s">
        <v>35</v>
      </c>
      <c r="B86" s="246" t="s">
        <v>104</v>
      </c>
      <c r="E86" s="246">
        <v>10097</v>
      </c>
      <c r="F86" s="246" t="s">
        <v>68</v>
      </c>
      <c r="G86" s="246">
        <v>1359</v>
      </c>
      <c r="H86" s="246">
        <v>0</v>
      </c>
      <c r="I86" s="246">
        <v>0</v>
      </c>
      <c r="L86" s="246">
        <v>0</v>
      </c>
      <c r="M86" s="246">
        <v>0</v>
      </c>
      <c r="N86" s="246">
        <v>0</v>
      </c>
      <c r="O86" s="246" t="s">
        <v>69</v>
      </c>
      <c r="P86" s="246">
        <v>1359</v>
      </c>
      <c r="U86" s="246" t="s">
        <v>276</v>
      </c>
      <c r="V86" s="246">
        <f t="shared" si="19"/>
        <v>1359</v>
      </c>
      <c r="W86" s="246">
        <v>1359</v>
      </c>
      <c r="Z86" s="246">
        <f t="shared" si="20"/>
        <v>0</v>
      </c>
      <c r="AC86" s="246" t="s">
        <v>64</v>
      </c>
    </row>
    <row r="87" spans="1:30">
      <c r="A87" s="246" t="s">
        <v>35</v>
      </c>
      <c r="B87" s="246" t="s">
        <v>277</v>
      </c>
      <c r="C87" s="246" t="s">
        <v>45</v>
      </c>
      <c r="E87" s="246">
        <v>10098</v>
      </c>
      <c r="F87" s="246" t="s">
        <v>278</v>
      </c>
      <c r="G87" s="246">
        <v>800000</v>
      </c>
      <c r="H87" s="246">
        <f>G87*0.1236</f>
        <v>98880</v>
      </c>
      <c r="I87" s="246">
        <f>G87*0.1</f>
        <v>80000</v>
      </c>
      <c r="K87" s="246" t="s">
        <v>142</v>
      </c>
      <c r="L87" s="246">
        <v>0</v>
      </c>
      <c r="M87" s="246">
        <v>0</v>
      </c>
      <c r="N87" s="246">
        <v>0</v>
      </c>
      <c r="O87" s="246" t="s">
        <v>32</v>
      </c>
      <c r="P87" s="246">
        <v>898880</v>
      </c>
      <c r="U87" s="246" t="s">
        <v>279</v>
      </c>
      <c r="V87" s="246">
        <f t="shared" si="19"/>
        <v>818880</v>
      </c>
      <c r="W87" s="246">
        <v>898880</v>
      </c>
      <c r="Y87" s="246" t="s">
        <v>279</v>
      </c>
      <c r="Z87" s="246">
        <f t="shared" si="20"/>
        <v>-80000</v>
      </c>
      <c r="AC87" s="246" t="s">
        <v>64</v>
      </c>
    </row>
    <row r="88" spans="1:30">
      <c r="A88" s="246" t="s">
        <v>35</v>
      </c>
      <c r="B88" s="246" t="s">
        <v>280</v>
      </c>
      <c r="E88" s="246">
        <v>10099</v>
      </c>
      <c r="F88" s="246" t="s">
        <v>281</v>
      </c>
      <c r="G88" s="246">
        <v>120000</v>
      </c>
      <c r="H88" s="246">
        <f>G88*0.1236</f>
        <v>14832</v>
      </c>
      <c r="I88" s="246">
        <f>G88*0.1</f>
        <v>12000</v>
      </c>
      <c r="K88" s="246" t="s">
        <v>142</v>
      </c>
      <c r="L88" s="246">
        <v>0</v>
      </c>
      <c r="M88" s="246">
        <v>0</v>
      </c>
      <c r="N88" s="246">
        <v>0</v>
      </c>
      <c r="O88" s="246" t="s">
        <v>32</v>
      </c>
      <c r="P88" s="246">
        <v>134832</v>
      </c>
      <c r="U88" s="246" t="s">
        <v>282</v>
      </c>
      <c r="V88" s="246">
        <f t="shared" si="19"/>
        <v>122832</v>
      </c>
      <c r="W88" s="246">
        <v>134832</v>
      </c>
      <c r="Z88" s="246">
        <f t="shared" si="20"/>
        <v>-12000</v>
      </c>
      <c r="AC88" s="246" t="s">
        <v>64</v>
      </c>
    </row>
    <row r="89" spans="1:30">
      <c r="A89" s="246" t="s">
        <v>35</v>
      </c>
      <c r="B89" s="246" t="s">
        <v>75</v>
      </c>
      <c r="E89" s="246">
        <v>10100</v>
      </c>
      <c r="F89" s="246" t="s">
        <v>283</v>
      </c>
      <c r="G89" s="246" t="s">
        <v>284</v>
      </c>
      <c r="H89" s="246">
        <v>0</v>
      </c>
      <c r="I89" s="246">
        <v>0</v>
      </c>
      <c r="L89" s="246">
        <v>0</v>
      </c>
      <c r="M89" s="246">
        <v>0</v>
      </c>
      <c r="N89" s="246">
        <v>0</v>
      </c>
      <c r="O89" s="246" t="s">
        <v>127</v>
      </c>
      <c r="P89" s="246" t="s">
        <v>284</v>
      </c>
      <c r="U89" s="246" t="s">
        <v>285</v>
      </c>
      <c r="V89" s="246" t="e">
        <f t="shared" si="19"/>
        <v>#VALUE!</v>
      </c>
      <c r="Z89" s="246" t="e">
        <f t="shared" si="20"/>
        <v>#VALUE!</v>
      </c>
      <c r="AC89" s="246" t="s">
        <v>286</v>
      </c>
    </row>
    <row r="90" spans="1:30">
      <c r="A90" s="246" t="s">
        <v>35</v>
      </c>
      <c r="B90" s="246" t="s">
        <v>287</v>
      </c>
      <c r="E90" s="246">
        <v>10105</v>
      </c>
      <c r="F90" s="246" t="s">
        <v>288</v>
      </c>
      <c r="G90" s="246">
        <v>200000</v>
      </c>
      <c r="H90" s="246">
        <f>G90*0.1236</f>
        <v>24720</v>
      </c>
      <c r="I90" s="246">
        <f>G90*0.1</f>
        <v>20000</v>
      </c>
      <c r="L90" s="246">
        <v>0</v>
      </c>
      <c r="M90" s="246">
        <v>0</v>
      </c>
      <c r="N90" s="246">
        <v>0</v>
      </c>
      <c r="O90" s="246" t="s">
        <v>32</v>
      </c>
      <c r="P90" s="246">
        <v>228000</v>
      </c>
      <c r="U90" s="246" t="s">
        <v>256</v>
      </c>
      <c r="V90" s="246">
        <f t="shared" si="19"/>
        <v>204720</v>
      </c>
      <c r="W90" s="246">
        <v>208000</v>
      </c>
      <c r="Y90" s="246" t="s">
        <v>234</v>
      </c>
      <c r="Z90" s="246">
        <f t="shared" si="20"/>
        <v>-3280</v>
      </c>
      <c r="AC90" s="246" t="s">
        <v>289</v>
      </c>
    </row>
    <row r="91" spans="1:30">
      <c r="A91" s="246" t="s">
        <v>35</v>
      </c>
      <c r="B91" s="246" t="s">
        <v>290</v>
      </c>
      <c r="E91" s="246">
        <v>10106</v>
      </c>
      <c r="F91" s="246" t="s">
        <v>291</v>
      </c>
      <c r="G91" s="246">
        <v>250000</v>
      </c>
      <c r="H91" s="246">
        <f>G91*0.1236</f>
        <v>30900</v>
      </c>
      <c r="I91" s="246">
        <f>G91*0.1</f>
        <v>25000</v>
      </c>
      <c r="L91" s="246">
        <v>0</v>
      </c>
      <c r="M91" s="246">
        <v>0</v>
      </c>
      <c r="N91" s="246">
        <v>0</v>
      </c>
      <c r="O91" s="246" t="s">
        <v>32</v>
      </c>
      <c r="P91" s="246">
        <v>285000</v>
      </c>
      <c r="U91" s="246" t="s">
        <v>292</v>
      </c>
      <c r="V91" s="246">
        <f t="shared" si="19"/>
        <v>255900</v>
      </c>
      <c r="W91" s="246">
        <v>205000</v>
      </c>
      <c r="Y91" s="246" t="s">
        <v>293</v>
      </c>
      <c r="Z91" s="246">
        <f t="shared" si="20"/>
        <v>50900</v>
      </c>
      <c r="AC91" s="246" t="s">
        <v>294</v>
      </c>
      <c r="AD91" s="246" t="s">
        <v>295</v>
      </c>
    </row>
    <row r="92" spans="1:30">
      <c r="A92" s="246" t="s">
        <v>35</v>
      </c>
      <c r="B92" s="246" t="s">
        <v>277</v>
      </c>
      <c r="E92" s="246">
        <v>10107</v>
      </c>
      <c r="F92" s="246" t="s">
        <v>68</v>
      </c>
      <c r="G92" s="246">
        <v>35186</v>
      </c>
      <c r="H92" s="246">
        <v>0</v>
      </c>
      <c r="I92" s="246">
        <v>0</v>
      </c>
      <c r="L92" s="246">
        <v>0</v>
      </c>
      <c r="M92" s="246">
        <v>0</v>
      </c>
      <c r="N92" s="246">
        <v>0</v>
      </c>
      <c r="O92" s="246" t="s">
        <v>69</v>
      </c>
      <c r="P92" s="246">
        <v>35186</v>
      </c>
      <c r="U92" s="246" t="s">
        <v>296</v>
      </c>
      <c r="V92" s="246">
        <f t="shared" si="19"/>
        <v>35186</v>
      </c>
      <c r="W92" s="246">
        <v>35186</v>
      </c>
      <c r="Y92" s="246" t="s">
        <v>297</v>
      </c>
      <c r="Z92" s="246">
        <f t="shared" si="20"/>
        <v>0</v>
      </c>
      <c r="AC92" s="246" t="s">
        <v>64</v>
      </c>
    </row>
    <row r="93" spans="1:30">
      <c r="A93" s="246" t="s">
        <v>35</v>
      </c>
      <c r="B93" s="246" t="s">
        <v>36</v>
      </c>
      <c r="E93" s="246">
        <v>10108</v>
      </c>
      <c r="F93" s="246" t="s">
        <v>298</v>
      </c>
      <c r="G93" s="246">
        <v>382500</v>
      </c>
      <c r="H93" s="246">
        <f>G93*0.14</f>
        <v>53550.000000000007</v>
      </c>
      <c r="I93" s="246">
        <f>G93*0.1</f>
        <v>38250</v>
      </c>
      <c r="K93" s="246" t="s">
        <v>142</v>
      </c>
      <c r="L93" s="246">
        <v>0</v>
      </c>
      <c r="M93" s="246">
        <v>0</v>
      </c>
      <c r="N93" s="246">
        <v>0</v>
      </c>
      <c r="O93" s="246" t="s">
        <v>32</v>
      </c>
      <c r="P93" s="246">
        <v>436050</v>
      </c>
      <c r="U93" s="246" t="s">
        <v>189</v>
      </c>
      <c r="V93" s="246">
        <f t="shared" si="19"/>
        <v>397800</v>
      </c>
      <c r="W93" s="246">
        <v>221529</v>
      </c>
      <c r="Y93" s="246" t="s">
        <v>299</v>
      </c>
      <c r="Z93" s="246">
        <f t="shared" si="20"/>
        <v>176271</v>
      </c>
      <c r="AC93" s="246" t="s">
        <v>300</v>
      </c>
    </row>
    <row r="94" spans="1:30">
      <c r="A94" s="256" t="s">
        <v>35</v>
      </c>
      <c r="B94" s="246" t="s">
        <v>301</v>
      </c>
      <c r="E94" s="246">
        <v>10109</v>
      </c>
      <c r="F94" s="246" t="s">
        <v>302</v>
      </c>
      <c r="G94" s="257">
        <v>206400</v>
      </c>
      <c r="H94" s="246">
        <f>G94*0.1236</f>
        <v>25511.040000000001</v>
      </c>
      <c r="I94" s="246">
        <f>G94*0.1</f>
        <v>20640</v>
      </c>
      <c r="L94" s="246">
        <v>0</v>
      </c>
      <c r="M94" s="246">
        <v>0</v>
      </c>
      <c r="N94" s="246">
        <v>0</v>
      </c>
      <c r="O94" s="246" t="s">
        <v>32</v>
      </c>
      <c r="P94" s="246">
        <v>235296</v>
      </c>
      <c r="U94" s="246" t="s">
        <v>303</v>
      </c>
      <c r="V94" s="246">
        <f t="shared" si="19"/>
        <v>211271.04000000001</v>
      </c>
      <c r="W94" s="246">
        <v>211766</v>
      </c>
      <c r="Y94" s="246" t="s">
        <v>304</v>
      </c>
      <c r="Z94" s="246">
        <f t="shared" si="20"/>
        <v>-494.95999999999185</v>
      </c>
      <c r="AC94" s="246" t="s">
        <v>42</v>
      </c>
    </row>
    <row r="95" spans="1:30">
      <c r="A95" s="246" t="s">
        <v>35</v>
      </c>
      <c r="B95" s="246" t="s">
        <v>305</v>
      </c>
      <c r="E95" s="246">
        <v>10110</v>
      </c>
      <c r="F95" s="246" t="s">
        <v>306</v>
      </c>
      <c r="G95" s="246">
        <v>392500</v>
      </c>
      <c r="H95" s="246">
        <f>G95*0.1236</f>
        <v>48513</v>
      </c>
      <c r="I95" s="246">
        <f>G95*0.1</f>
        <v>39250</v>
      </c>
      <c r="L95" s="246">
        <v>0</v>
      </c>
      <c r="M95" s="246">
        <v>0</v>
      </c>
      <c r="N95" s="246">
        <v>0</v>
      </c>
      <c r="O95" s="246" t="s">
        <v>32</v>
      </c>
      <c r="P95" s="246">
        <v>447450</v>
      </c>
      <c r="U95" s="246" t="s">
        <v>307</v>
      </c>
      <c r="V95" s="246">
        <f t="shared" si="19"/>
        <v>401763</v>
      </c>
      <c r="W95" s="246">
        <v>447450</v>
      </c>
      <c r="Z95" s="246">
        <f t="shared" si="20"/>
        <v>-45687</v>
      </c>
      <c r="AC95" s="246" t="s">
        <v>64</v>
      </c>
    </row>
    <row r="96" spans="1:30">
      <c r="A96" s="246" t="s">
        <v>35</v>
      </c>
      <c r="B96" s="246" t="s">
        <v>305</v>
      </c>
      <c r="E96" s="246">
        <v>10111</v>
      </c>
      <c r="F96" s="246" t="s">
        <v>308</v>
      </c>
      <c r="G96" s="246">
        <v>628000</v>
      </c>
      <c r="H96" s="246">
        <f>G96*0.1236</f>
        <v>77620.800000000003</v>
      </c>
      <c r="I96" s="246">
        <f>G96*0.1</f>
        <v>62800</v>
      </c>
      <c r="L96" s="246">
        <v>0</v>
      </c>
      <c r="M96" s="246">
        <v>0</v>
      </c>
      <c r="N96" s="246">
        <v>0</v>
      </c>
      <c r="O96" s="246" t="s">
        <v>32</v>
      </c>
      <c r="P96" s="246">
        <v>715920</v>
      </c>
      <c r="U96" s="246" t="s">
        <v>297</v>
      </c>
      <c r="V96" s="246">
        <f t="shared" si="19"/>
        <v>642820.80000000005</v>
      </c>
      <c r="W96" s="246">
        <v>715920</v>
      </c>
      <c r="Z96" s="246">
        <f t="shared" si="20"/>
        <v>-73099.199999999953</v>
      </c>
      <c r="AC96" s="246" t="s">
        <v>64</v>
      </c>
    </row>
    <row r="97" spans="1:30">
      <c r="A97" s="246" t="s">
        <v>35</v>
      </c>
      <c r="B97" s="246" t="s">
        <v>277</v>
      </c>
      <c r="E97" s="246">
        <v>10112</v>
      </c>
      <c r="F97" s="246" t="s">
        <v>309</v>
      </c>
      <c r="G97" s="246">
        <v>240000</v>
      </c>
      <c r="H97" s="246">
        <f>G97*0.1236</f>
        <v>29664</v>
      </c>
      <c r="I97" s="246">
        <f>G97*0.1</f>
        <v>24000</v>
      </c>
      <c r="K97" s="246" t="s">
        <v>142</v>
      </c>
      <c r="L97" s="246">
        <v>0</v>
      </c>
      <c r="M97" s="246">
        <v>0</v>
      </c>
      <c r="N97" s="246">
        <v>0</v>
      </c>
      <c r="O97" s="246" t="s">
        <v>32</v>
      </c>
      <c r="P97" s="246">
        <v>273600</v>
      </c>
      <c r="U97" s="246" t="s">
        <v>310</v>
      </c>
      <c r="V97" s="246">
        <f t="shared" si="19"/>
        <v>245664</v>
      </c>
      <c r="W97" s="246">
        <v>249600</v>
      </c>
      <c r="Y97" s="246" t="s">
        <v>297</v>
      </c>
      <c r="Z97" s="246">
        <f t="shared" si="20"/>
        <v>-3936</v>
      </c>
      <c r="AC97" s="246" t="s">
        <v>64</v>
      </c>
    </row>
    <row r="98" spans="1:30">
      <c r="A98" s="246" t="s">
        <v>35</v>
      </c>
      <c r="B98" s="246" t="s">
        <v>277</v>
      </c>
      <c r="E98" s="246">
        <v>10113</v>
      </c>
      <c r="F98" s="246" t="s">
        <v>68</v>
      </c>
      <c r="G98" s="246">
        <v>28335</v>
      </c>
      <c r="H98" s="246">
        <v>0</v>
      </c>
      <c r="I98" s="246">
        <v>0</v>
      </c>
      <c r="L98" s="246">
        <v>0</v>
      </c>
      <c r="M98" s="246">
        <v>0</v>
      </c>
      <c r="N98" s="246">
        <v>0</v>
      </c>
      <c r="O98" s="246" t="s">
        <v>69</v>
      </c>
      <c r="P98" s="246">
        <v>28335</v>
      </c>
      <c r="U98" s="246" t="s">
        <v>311</v>
      </c>
      <c r="V98" s="246">
        <f t="shared" si="19"/>
        <v>28335</v>
      </c>
      <c r="W98" s="246">
        <v>28335</v>
      </c>
      <c r="Y98" s="246" t="s">
        <v>297</v>
      </c>
      <c r="Z98" s="246">
        <f t="shared" si="20"/>
        <v>0</v>
      </c>
      <c r="AC98" s="246" t="s">
        <v>64</v>
      </c>
    </row>
    <row r="99" spans="1:30">
      <c r="A99" s="246" t="s">
        <v>35</v>
      </c>
      <c r="B99" s="246" t="s">
        <v>305</v>
      </c>
      <c r="E99" s="246">
        <v>10114</v>
      </c>
      <c r="F99" s="246" t="s">
        <v>312</v>
      </c>
      <c r="G99" s="246">
        <v>235500</v>
      </c>
      <c r="H99" s="246">
        <f>G99*0.1236</f>
        <v>29107.8</v>
      </c>
      <c r="I99" s="246">
        <f>G99*0.1</f>
        <v>23550</v>
      </c>
      <c r="L99" s="246">
        <v>0</v>
      </c>
      <c r="M99" s="246">
        <v>0</v>
      </c>
      <c r="N99" s="246">
        <v>0</v>
      </c>
      <c r="O99" s="246" t="s">
        <v>32</v>
      </c>
      <c r="P99" s="246">
        <v>268470</v>
      </c>
      <c r="U99" s="246" t="s">
        <v>313</v>
      </c>
      <c r="V99" s="246">
        <f t="shared" si="19"/>
        <v>241057.8</v>
      </c>
      <c r="W99" s="246">
        <v>268470</v>
      </c>
      <c r="Z99" s="246">
        <f t="shared" si="20"/>
        <v>-27412.200000000012</v>
      </c>
      <c r="AC99" s="246" t="s">
        <v>314</v>
      </c>
    </row>
    <row r="100" spans="1:30">
      <c r="A100" s="246" t="s">
        <v>35</v>
      </c>
      <c r="B100" s="246" t="s">
        <v>140</v>
      </c>
      <c r="E100" s="246">
        <v>10115</v>
      </c>
      <c r="F100" s="246" t="s">
        <v>205</v>
      </c>
      <c r="G100" s="246">
        <v>130000</v>
      </c>
      <c r="H100" s="246">
        <f>G100*0.1236</f>
        <v>16068</v>
      </c>
      <c r="I100" s="246">
        <f>G100*0.1</f>
        <v>13000</v>
      </c>
      <c r="L100" s="246">
        <v>0</v>
      </c>
      <c r="M100" s="246">
        <v>0</v>
      </c>
      <c r="N100" s="246">
        <v>0</v>
      </c>
      <c r="O100" s="246" t="s">
        <v>32</v>
      </c>
      <c r="P100" s="246">
        <v>148200</v>
      </c>
      <c r="U100" s="246" t="s">
        <v>315</v>
      </c>
      <c r="V100" s="246">
        <f t="shared" si="19"/>
        <v>133068</v>
      </c>
      <c r="W100" s="246">
        <v>148200</v>
      </c>
      <c r="Z100" s="246">
        <f t="shared" si="20"/>
        <v>-15132</v>
      </c>
      <c r="AC100" s="246" t="s">
        <v>314</v>
      </c>
    </row>
    <row r="101" spans="1:30">
      <c r="A101" s="246" t="s">
        <v>35</v>
      </c>
      <c r="B101" s="246" t="s">
        <v>240</v>
      </c>
      <c r="E101" s="246">
        <v>10116</v>
      </c>
      <c r="F101" s="246" t="s">
        <v>316</v>
      </c>
      <c r="G101" s="246" t="s">
        <v>317</v>
      </c>
      <c r="H101" s="246">
        <v>0</v>
      </c>
      <c r="I101" s="246">
        <v>0</v>
      </c>
      <c r="L101" s="246">
        <v>0</v>
      </c>
      <c r="M101" s="246">
        <v>0</v>
      </c>
      <c r="N101" s="246">
        <v>0</v>
      </c>
      <c r="O101" s="246" t="s">
        <v>127</v>
      </c>
      <c r="P101" s="246" t="s">
        <v>317</v>
      </c>
      <c r="U101" s="246" t="s">
        <v>318</v>
      </c>
      <c r="V101" s="246" t="e">
        <f t="shared" si="19"/>
        <v>#VALUE!</v>
      </c>
      <c r="W101" s="246" t="s">
        <v>317</v>
      </c>
      <c r="Z101" s="246" t="e">
        <f t="shared" si="20"/>
        <v>#VALUE!</v>
      </c>
      <c r="AC101" s="246" t="s">
        <v>42</v>
      </c>
    </row>
    <row r="102" spans="1:30">
      <c r="A102" s="246" t="s">
        <v>35</v>
      </c>
      <c r="B102" s="246" t="s">
        <v>277</v>
      </c>
      <c r="E102" s="246">
        <v>10117</v>
      </c>
      <c r="F102" s="246" t="s">
        <v>319</v>
      </c>
      <c r="G102" s="246">
        <v>480000</v>
      </c>
      <c r="H102" s="246">
        <f>G102*0.1236</f>
        <v>59328</v>
      </c>
      <c r="I102" s="246">
        <f>G102*0.1</f>
        <v>48000</v>
      </c>
      <c r="L102" s="246">
        <v>0</v>
      </c>
      <c r="M102" s="246">
        <v>0</v>
      </c>
      <c r="N102" s="246">
        <v>0</v>
      </c>
      <c r="O102" s="246" t="s">
        <v>32</v>
      </c>
      <c r="P102" s="246">
        <v>547200</v>
      </c>
      <c r="U102" s="246" t="s">
        <v>320</v>
      </c>
      <c r="V102" s="246">
        <f t="shared" si="19"/>
        <v>491328</v>
      </c>
      <c r="W102" s="246">
        <v>499200</v>
      </c>
      <c r="Y102" s="246" t="s">
        <v>321</v>
      </c>
      <c r="Z102" s="246">
        <f t="shared" si="20"/>
        <v>-7872</v>
      </c>
      <c r="AC102" s="246" t="s">
        <v>322</v>
      </c>
      <c r="AD102" s="246" t="s">
        <v>42</v>
      </c>
    </row>
    <row r="103" spans="1:30">
      <c r="A103" s="246" t="s">
        <v>35</v>
      </c>
      <c r="B103" s="246" t="s">
        <v>287</v>
      </c>
      <c r="E103" s="246">
        <v>10118</v>
      </c>
      <c r="F103" s="246" t="s">
        <v>323</v>
      </c>
      <c r="G103" s="246">
        <v>536358</v>
      </c>
      <c r="H103" s="258">
        <v>75090</v>
      </c>
      <c r="I103" s="246">
        <f>G103*0.1</f>
        <v>53635.8</v>
      </c>
      <c r="K103" s="246" t="s">
        <v>142</v>
      </c>
      <c r="L103" s="246">
        <v>0</v>
      </c>
      <c r="M103" s="246">
        <v>0</v>
      </c>
      <c r="N103" s="246">
        <v>0</v>
      </c>
      <c r="O103" s="246" t="s">
        <v>32</v>
      </c>
      <c r="P103" s="246">
        <v>611448</v>
      </c>
      <c r="U103" s="246" t="s">
        <v>324</v>
      </c>
      <c r="V103" s="259">
        <f t="shared" si="19"/>
        <v>557812.19999999995</v>
      </c>
      <c r="W103" s="246">
        <v>557812</v>
      </c>
      <c r="Y103" s="246" t="s">
        <v>325</v>
      </c>
      <c r="Z103" s="259">
        <f t="shared" si="20"/>
        <v>0.19999999995343387</v>
      </c>
      <c r="AC103" s="246" t="s">
        <v>326</v>
      </c>
    </row>
    <row r="104" spans="1:30">
      <c r="A104" s="246" t="s">
        <v>35</v>
      </c>
      <c r="B104" s="246" t="s">
        <v>327</v>
      </c>
      <c r="E104" s="246">
        <v>10119</v>
      </c>
      <c r="F104" s="246" t="s">
        <v>274</v>
      </c>
      <c r="G104" s="246">
        <v>750000</v>
      </c>
      <c r="H104" s="246">
        <v>0</v>
      </c>
      <c r="I104" s="246">
        <f>G104*0.1</f>
        <v>75000</v>
      </c>
      <c r="L104" s="246">
        <v>0</v>
      </c>
      <c r="M104" s="246">
        <v>0</v>
      </c>
      <c r="N104" s="246">
        <v>0</v>
      </c>
      <c r="O104" s="246" t="s">
        <v>127</v>
      </c>
      <c r="P104" s="246">
        <v>750000</v>
      </c>
      <c r="U104" s="246" t="s">
        <v>328</v>
      </c>
      <c r="V104" s="246">
        <f t="shared" si="19"/>
        <v>675000</v>
      </c>
      <c r="W104" s="246">
        <v>675000</v>
      </c>
      <c r="Y104" s="246" t="s">
        <v>329</v>
      </c>
      <c r="Z104" s="246">
        <f t="shared" si="20"/>
        <v>0</v>
      </c>
      <c r="AC104" s="246" t="s">
        <v>330</v>
      </c>
    </row>
    <row r="105" spans="1:30">
      <c r="A105" s="246" t="s">
        <v>35</v>
      </c>
      <c r="B105" s="246" t="s">
        <v>168</v>
      </c>
      <c r="E105" s="246">
        <v>10120</v>
      </c>
      <c r="F105" s="246" t="s">
        <v>68</v>
      </c>
      <c r="G105" s="246">
        <v>40531</v>
      </c>
      <c r="H105" s="246">
        <v>0</v>
      </c>
      <c r="I105" s="246">
        <v>0</v>
      </c>
      <c r="L105" s="246">
        <v>0</v>
      </c>
      <c r="M105" s="246">
        <v>0</v>
      </c>
      <c r="N105" s="246">
        <v>0</v>
      </c>
      <c r="O105" s="246" t="s">
        <v>69</v>
      </c>
      <c r="P105" s="246">
        <v>40531</v>
      </c>
      <c r="U105" s="246" t="s">
        <v>325</v>
      </c>
      <c r="V105" s="246">
        <f t="shared" si="19"/>
        <v>40531</v>
      </c>
      <c r="W105" s="246">
        <v>40531</v>
      </c>
      <c r="Z105" s="246">
        <f t="shared" si="20"/>
        <v>0</v>
      </c>
      <c r="AC105" s="246" t="s">
        <v>42</v>
      </c>
    </row>
    <row r="106" spans="1:30">
      <c r="A106" s="246" t="s">
        <v>35</v>
      </c>
      <c r="B106" s="246" t="s">
        <v>331</v>
      </c>
      <c r="E106" s="246">
        <v>10121</v>
      </c>
      <c r="F106" s="246" t="s">
        <v>68</v>
      </c>
      <c r="G106" s="246">
        <v>50851</v>
      </c>
      <c r="H106" s="246">
        <v>0</v>
      </c>
      <c r="I106" s="246">
        <v>0</v>
      </c>
      <c r="L106" s="246">
        <v>0</v>
      </c>
      <c r="M106" s="246">
        <v>0</v>
      </c>
      <c r="N106" s="246">
        <v>0</v>
      </c>
      <c r="O106" s="246" t="s">
        <v>69</v>
      </c>
      <c r="P106" s="246">
        <v>50851</v>
      </c>
      <c r="U106" s="246" t="s">
        <v>332</v>
      </c>
      <c r="V106" s="246">
        <f t="shared" si="19"/>
        <v>50851</v>
      </c>
      <c r="W106" s="246">
        <v>0</v>
      </c>
      <c r="Z106" s="246">
        <f t="shared" si="20"/>
        <v>50851</v>
      </c>
      <c r="AC106" s="246" t="s">
        <v>95</v>
      </c>
    </row>
    <row r="107" spans="1:30">
      <c r="A107" s="246" t="s">
        <v>35</v>
      </c>
      <c r="B107" s="246" t="s">
        <v>327</v>
      </c>
      <c r="E107" s="246">
        <v>10123</v>
      </c>
      <c r="F107" s="246" t="s">
        <v>158</v>
      </c>
      <c r="G107" s="246">
        <v>625000</v>
      </c>
      <c r="H107" s="246">
        <v>0</v>
      </c>
      <c r="I107" s="246">
        <f t="shared" ref="I107:I116" si="21">G107*0.1</f>
        <v>62500</v>
      </c>
      <c r="L107" s="246">
        <v>0</v>
      </c>
      <c r="M107" s="246">
        <v>0</v>
      </c>
      <c r="N107" s="246">
        <v>0</v>
      </c>
      <c r="O107" s="246" t="s">
        <v>127</v>
      </c>
      <c r="P107" s="246">
        <v>625000</v>
      </c>
      <c r="U107" s="246" t="s">
        <v>333</v>
      </c>
      <c r="V107" s="246">
        <f t="shared" si="19"/>
        <v>562500</v>
      </c>
      <c r="W107" s="246">
        <v>393750</v>
      </c>
      <c r="Y107" s="246" t="s">
        <v>334</v>
      </c>
      <c r="Z107" s="246">
        <f t="shared" si="20"/>
        <v>168750</v>
      </c>
      <c r="AC107" s="246" t="s">
        <v>314</v>
      </c>
    </row>
    <row r="108" spans="1:30">
      <c r="A108" s="256" t="s">
        <v>35</v>
      </c>
      <c r="B108" s="246" t="s">
        <v>301</v>
      </c>
      <c r="E108" s="246">
        <v>10124</v>
      </c>
      <c r="F108" s="246" t="s">
        <v>335</v>
      </c>
      <c r="G108" s="257">
        <v>206400</v>
      </c>
      <c r="H108" s="246">
        <f t="shared" ref="H108:H116" si="22">G108*0.14</f>
        <v>28896.000000000004</v>
      </c>
      <c r="I108" s="246">
        <f t="shared" si="21"/>
        <v>20640</v>
      </c>
      <c r="L108" s="246">
        <f t="shared" ref="L108:L116" si="23">G108*0.005</f>
        <v>1032</v>
      </c>
      <c r="M108" s="246">
        <v>0</v>
      </c>
      <c r="N108" s="246">
        <v>0</v>
      </c>
      <c r="O108" s="246" t="s">
        <v>336</v>
      </c>
      <c r="P108" s="246">
        <v>236328</v>
      </c>
      <c r="U108" s="246" t="s">
        <v>333</v>
      </c>
      <c r="V108" s="246">
        <f t="shared" ref="V108:V115" si="24">G108+H108-I108+L108</f>
        <v>215688</v>
      </c>
      <c r="W108" s="246">
        <v>212695</v>
      </c>
      <c r="Y108" s="246" t="s">
        <v>337</v>
      </c>
      <c r="Z108" s="246">
        <f t="shared" si="20"/>
        <v>2993</v>
      </c>
      <c r="AC108" s="246" t="s">
        <v>42</v>
      </c>
      <c r="AD108" s="246" t="s">
        <v>338</v>
      </c>
    </row>
    <row r="109" spans="1:30">
      <c r="A109" s="246" t="s">
        <v>35</v>
      </c>
      <c r="B109" s="246" t="s">
        <v>327</v>
      </c>
      <c r="E109" s="246">
        <v>10125</v>
      </c>
      <c r="F109" s="246" t="s">
        <v>339</v>
      </c>
      <c r="G109" s="246">
        <v>750000</v>
      </c>
      <c r="H109" s="246">
        <f t="shared" si="22"/>
        <v>105000.00000000001</v>
      </c>
      <c r="I109" s="246">
        <f t="shared" si="21"/>
        <v>75000</v>
      </c>
      <c r="K109" s="246" t="s">
        <v>142</v>
      </c>
      <c r="L109" s="246">
        <f t="shared" si="23"/>
        <v>3750</v>
      </c>
      <c r="M109" s="246">
        <v>0</v>
      </c>
      <c r="N109" s="246">
        <v>0</v>
      </c>
      <c r="O109" s="246" t="s">
        <v>336</v>
      </c>
      <c r="P109" s="246">
        <v>858750</v>
      </c>
      <c r="U109" s="246" t="s">
        <v>340</v>
      </c>
      <c r="V109" s="246">
        <f t="shared" si="24"/>
        <v>783750</v>
      </c>
      <c r="W109" s="246">
        <v>541012</v>
      </c>
      <c r="Y109" s="246" t="s">
        <v>341</v>
      </c>
      <c r="Z109" s="246">
        <f t="shared" si="20"/>
        <v>242738</v>
      </c>
      <c r="AC109" s="246" t="s">
        <v>330</v>
      </c>
    </row>
    <row r="110" spans="1:30">
      <c r="A110" s="246" t="s">
        <v>35</v>
      </c>
      <c r="B110" s="246" t="s">
        <v>168</v>
      </c>
      <c r="E110" s="246">
        <v>10127</v>
      </c>
      <c r="F110" s="246" t="s">
        <v>342</v>
      </c>
      <c r="G110" s="246">
        <v>115000</v>
      </c>
      <c r="H110" s="246">
        <f t="shared" si="22"/>
        <v>16100.000000000002</v>
      </c>
      <c r="I110" s="246">
        <f t="shared" si="21"/>
        <v>11500</v>
      </c>
      <c r="K110" s="246" t="s">
        <v>142</v>
      </c>
      <c r="L110" s="246">
        <f t="shared" si="23"/>
        <v>575</v>
      </c>
      <c r="M110" s="246">
        <v>0</v>
      </c>
      <c r="N110" s="246">
        <v>0</v>
      </c>
      <c r="O110" s="246" t="s">
        <v>336</v>
      </c>
      <c r="P110" s="246">
        <v>131675</v>
      </c>
      <c r="U110" s="246" t="s">
        <v>343</v>
      </c>
      <c r="V110" s="246">
        <f t="shared" si="24"/>
        <v>120175</v>
      </c>
      <c r="W110" s="246">
        <v>121321</v>
      </c>
      <c r="Y110" s="246" t="s">
        <v>341</v>
      </c>
      <c r="Z110" s="246">
        <f t="shared" si="20"/>
        <v>-1146</v>
      </c>
      <c r="AC110" s="246" t="s">
        <v>314</v>
      </c>
    </row>
    <row r="111" spans="1:30">
      <c r="A111" s="246" t="s">
        <v>35</v>
      </c>
      <c r="B111" s="246" t="s">
        <v>280</v>
      </c>
      <c r="E111" s="246">
        <v>10128</v>
      </c>
      <c r="F111" s="246" t="s">
        <v>344</v>
      </c>
      <c r="G111" s="246">
        <v>120000</v>
      </c>
      <c r="H111" s="246">
        <f t="shared" si="22"/>
        <v>16800</v>
      </c>
      <c r="I111" s="246">
        <f t="shared" si="21"/>
        <v>12000</v>
      </c>
      <c r="K111" s="246" t="s">
        <v>142</v>
      </c>
      <c r="L111" s="246">
        <f t="shared" si="23"/>
        <v>600</v>
      </c>
      <c r="M111" s="246">
        <v>0</v>
      </c>
      <c r="N111" s="246">
        <v>0</v>
      </c>
      <c r="O111" s="246" t="s">
        <v>336</v>
      </c>
      <c r="P111" s="246">
        <v>160300</v>
      </c>
      <c r="U111" s="246" t="s">
        <v>345</v>
      </c>
      <c r="V111" s="246">
        <f t="shared" si="24"/>
        <v>125400</v>
      </c>
      <c r="W111" s="246">
        <v>160300</v>
      </c>
      <c r="Z111" s="246">
        <f t="shared" si="20"/>
        <v>-34900</v>
      </c>
      <c r="AC111" s="246" t="s">
        <v>314</v>
      </c>
    </row>
    <row r="112" spans="1:30">
      <c r="A112" s="246" t="s">
        <v>35</v>
      </c>
      <c r="B112" s="246" t="s">
        <v>140</v>
      </c>
      <c r="E112" s="246">
        <v>10129</v>
      </c>
      <c r="F112" s="246" t="s">
        <v>238</v>
      </c>
      <c r="G112" s="246">
        <v>130000</v>
      </c>
      <c r="H112" s="246">
        <f t="shared" si="22"/>
        <v>18200</v>
      </c>
      <c r="I112" s="246">
        <f t="shared" si="21"/>
        <v>13000</v>
      </c>
      <c r="L112" s="246">
        <f t="shared" si="23"/>
        <v>650</v>
      </c>
      <c r="M112" s="246">
        <v>0</v>
      </c>
      <c r="N112" s="246">
        <v>0</v>
      </c>
      <c r="O112" s="246" t="s">
        <v>336</v>
      </c>
      <c r="P112" s="246">
        <v>148850</v>
      </c>
      <c r="U112" s="246" t="s">
        <v>346</v>
      </c>
      <c r="V112" s="246">
        <f t="shared" si="24"/>
        <v>135850</v>
      </c>
      <c r="W112" s="246">
        <v>148850</v>
      </c>
      <c r="Z112" s="246">
        <f t="shared" si="20"/>
        <v>-13000</v>
      </c>
      <c r="AC112" s="246" t="s">
        <v>347</v>
      </c>
    </row>
    <row r="113" spans="1:30">
      <c r="A113" s="246" t="s">
        <v>35</v>
      </c>
      <c r="B113" s="246" t="s">
        <v>305</v>
      </c>
      <c r="E113" s="246">
        <v>10130</v>
      </c>
      <c r="F113" s="246" t="s">
        <v>348</v>
      </c>
      <c r="G113" s="246">
        <v>314000</v>
      </c>
      <c r="H113" s="246">
        <f t="shared" si="22"/>
        <v>43960.000000000007</v>
      </c>
      <c r="I113" s="246">
        <f t="shared" si="21"/>
        <v>31400</v>
      </c>
      <c r="L113" s="246">
        <f t="shared" si="23"/>
        <v>1570</v>
      </c>
      <c r="M113" s="246">
        <v>0</v>
      </c>
      <c r="N113" s="246">
        <v>0</v>
      </c>
      <c r="O113" s="246" t="s">
        <v>336</v>
      </c>
      <c r="P113" s="246">
        <v>359530</v>
      </c>
      <c r="U113" s="246" t="s">
        <v>349</v>
      </c>
      <c r="V113" s="246">
        <f t="shared" si="24"/>
        <v>328130</v>
      </c>
      <c r="W113" s="246">
        <v>359530</v>
      </c>
      <c r="Z113" s="246">
        <f t="shared" si="20"/>
        <v>-31400</v>
      </c>
      <c r="AC113" s="246" t="s">
        <v>314</v>
      </c>
    </row>
    <row r="114" spans="1:30">
      <c r="A114" s="246" t="s">
        <v>35</v>
      </c>
      <c r="B114" s="246" t="s">
        <v>350</v>
      </c>
      <c r="E114" s="246">
        <v>10133</v>
      </c>
      <c r="F114" s="246" t="s">
        <v>351</v>
      </c>
      <c r="G114" s="246">
        <v>340000</v>
      </c>
      <c r="H114" s="246">
        <f t="shared" si="22"/>
        <v>47600.000000000007</v>
      </c>
      <c r="I114" s="246">
        <f t="shared" si="21"/>
        <v>34000</v>
      </c>
      <c r="L114" s="246">
        <f t="shared" si="23"/>
        <v>1700</v>
      </c>
      <c r="M114" s="246">
        <v>0</v>
      </c>
      <c r="N114" s="246">
        <v>0</v>
      </c>
      <c r="O114" s="246" t="s">
        <v>336</v>
      </c>
      <c r="P114" s="246">
        <v>389300</v>
      </c>
      <c r="U114" s="246" t="s">
        <v>352</v>
      </c>
      <c r="V114" s="246">
        <f t="shared" si="24"/>
        <v>355300</v>
      </c>
      <c r="W114" s="246">
        <v>389300</v>
      </c>
      <c r="Z114" s="246">
        <f t="shared" si="20"/>
        <v>-34000</v>
      </c>
      <c r="AC114" s="246" t="s">
        <v>82</v>
      </c>
    </row>
    <row r="115" spans="1:30">
      <c r="B115" s="246" t="s">
        <v>183</v>
      </c>
      <c r="C115" s="252"/>
      <c r="D115" s="252"/>
      <c r="E115" s="246">
        <v>10134</v>
      </c>
      <c r="F115" s="246" t="s">
        <v>68</v>
      </c>
      <c r="G115" s="246">
        <v>78287</v>
      </c>
      <c r="H115" s="246">
        <f t="shared" si="22"/>
        <v>10960.18</v>
      </c>
      <c r="I115" s="246">
        <f t="shared" si="21"/>
        <v>7828.7000000000007</v>
      </c>
      <c r="K115" s="246" t="s">
        <v>142</v>
      </c>
      <c r="L115" s="246">
        <f t="shared" si="23"/>
        <v>391.435</v>
      </c>
      <c r="M115" s="246">
        <v>0</v>
      </c>
      <c r="N115" s="246">
        <v>0</v>
      </c>
      <c r="O115" s="246" t="s">
        <v>336</v>
      </c>
      <c r="P115" s="246">
        <v>89639</v>
      </c>
      <c r="S115" s="246" t="s">
        <v>353</v>
      </c>
      <c r="U115" s="246" t="s">
        <v>354</v>
      </c>
      <c r="V115" s="246">
        <f t="shared" si="24"/>
        <v>81809.914999999994</v>
      </c>
      <c r="W115" s="246">
        <v>81810</v>
      </c>
      <c r="Y115" s="246" t="s">
        <v>355</v>
      </c>
      <c r="Z115" s="246">
        <f t="shared" si="20"/>
        <v>-8.5000000006402843E-2</v>
      </c>
      <c r="AC115" s="246" t="s">
        <v>356</v>
      </c>
    </row>
    <row r="116" spans="1:30">
      <c r="B116" s="246" t="s">
        <v>183</v>
      </c>
      <c r="E116" s="246">
        <v>10135</v>
      </c>
      <c r="F116" s="246" t="s">
        <v>68</v>
      </c>
      <c r="G116" s="246">
        <v>19733</v>
      </c>
      <c r="H116" s="246">
        <f t="shared" si="22"/>
        <v>2762.6200000000003</v>
      </c>
      <c r="I116" s="246">
        <f t="shared" si="21"/>
        <v>1973.3000000000002</v>
      </c>
      <c r="K116" s="246" t="s">
        <v>142</v>
      </c>
      <c r="L116" s="246">
        <f t="shared" si="23"/>
        <v>98.665000000000006</v>
      </c>
      <c r="M116" s="246">
        <f>G116*0.005</f>
        <v>98.665000000000006</v>
      </c>
      <c r="N116" s="246">
        <v>0</v>
      </c>
      <c r="O116" s="246" t="s">
        <v>357</v>
      </c>
      <c r="P116" s="246">
        <v>22693</v>
      </c>
      <c r="S116" s="246" t="s">
        <v>353</v>
      </c>
      <c r="U116" s="246" t="s">
        <v>358</v>
      </c>
      <c r="V116" s="246">
        <v>0</v>
      </c>
      <c r="Z116" s="246">
        <f t="shared" si="20"/>
        <v>0</v>
      </c>
      <c r="AC116" s="246" t="s">
        <v>42</v>
      </c>
      <c r="AD116" s="246" t="s">
        <v>359</v>
      </c>
    </row>
    <row r="117" spans="1:30">
      <c r="A117" s="246" t="s">
        <v>35</v>
      </c>
      <c r="B117" s="246" t="s">
        <v>240</v>
      </c>
      <c r="E117" s="246">
        <v>10136</v>
      </c>
      <c r="F117" s="246" t="s">
        <v>360</v>
      </c>
      <c r="G117" s="246" t="s">
        <v>317</v>
      </c>
      <c r="H117" s="246">
        <v>0</v>
      </c>
      <c r="I117" s="246">
        <v>0</v>
      </c>
      <c r="L117" s="246">
        <v>0</v>
      </c>
      <c r="M117" s="246">
        <v>0</v>
      </c>
      <c r="N117" s="246">
        <v>0</v>
      </c>
      <c r="O117" s="246" t="s">
        <v>127</v>
      </c>
      <c r="P117" s="246" t="s">
        <v>317</v>
      </c>
      <c r="U117" s="246" t="s">
        <v>361</v>
      </c>
      <c r="V117" s="246" t="e">
        <f t="shared" ref="V117:V121" si="25">G117+H117-I117+L117</f>
        <v>#VALUE!</v>
      </c>
      <c r="W117" s="246" t="s">
        <v>362</v>
      </c>
      <c r="Y117" s="246" t="s">
        <v>363</v>
      </c>
      <c r="Z117" s="246" t="e">
        <f>V117-#REF!</f>
        <v>#VALUE!</v>
      </c>
      <c r="AC117" s="246" t="s">
        <v>42</v>
      </c>
    </row>
    <row r="118" spans="1:30">
      <c r="A118" s="246" t="s">
        <v>35</v>
      </c>
      <c r="B118" s="246" t="s">
        <v>350</v>
      </c>
      <c r="C118" s="246" t="s">
        <v>45</v>
      </c>
      <c r="E118" s="246">
        <v>10137</v>
      </c>
      <c r="F118" s="246" t="s">
        <v>364</v>
      </c>
      <c r="G118" s="246">
        <v>425000</v>
      </c>
      <c r="H118" s="246">
        <f>G118*0.14</f>
        <v>59500.000000000007</v>
      </c>
      <c r="I118" s="246">
        <f>G118*0.1</f>
        <v>42500</v>
      </c>
      <c r="K118" s="246" t="s">
        <v>142</v>
      </c>
      <c r="L118" s="246">
        <f>G118*0.005</f>
        <v>2125</v>
      </c>
      <c r="M118" s="246">
        <f>G118*0.005</f>
        <v>2125</v>
      </c>
      <c r="N118" s="246">
        <v>0</v>
      </c>
      <c r="O118" s="246" t="s">
        <v>357</v>
      </c>
      <c r="P118" s="246">
        <v>488750</v>
      </c>
      <c r="U118" s="246" t="s">
        <v>365</v>
      </c>
      <c r="V118" s="246">
        <f t="shared" si="25"/>
        <v>444125</v>
      </c>
      <c r="W118" s="246">
        <f>450250-4000</f>
        <v>446250</v>
      </c>
      <c r="Y118" s="246" t="s">
        <v>366</v>
      </c>
      <c r="Z118" s="246">
        <f t="shared" ref="Z118:Z141" si="26">V118-W118</f>
        <v>-2125</v>
      </c>
      <c r="AC118" s="246" t="s">
        <v>95</v>
      </c>
      <c r="AD118" s="246" t="s">
        <v>367</v>
      </c>
    </row>
    <row r="119" spans="1:30">
      <c r="A119" s="246" t="s">
        <v>35</v>
      </c>
      <c r="B119" s="246" t="s">
        <v>368</v>
      </c>
      <c r="E119" s="246">
        <v>10138</v>
      </c>
      <c r="F119" s="246" t="s">
        <v>369</v>
      </c>
      <c r="G119" s="246">
        <v>115000</v>
      </c>
      <c r="H119" s="246">
        <f>G119*0.14</f>
        <v>16100.000000000002</v>
      </c>
      <c r="I119" s="246">
        <f>G119*0.1</f>
        <v>11500</v>
      </c>
      <c r="L119" s="246">
        <f>G119*0.005</f>
        <v>575</v>
      </c>
      <c r="M119" s="246">
        <f>G119*0.005</f>
        <v>575</v>
      </c>
      <c r="N119" s="246">
        <v>0</v>
      </c>
      <c r="O119" s="246" t="s">
        <v>357</v>
      </c>
      <c r="P119" s="246">
        <v>132250</v>
      </c>
      <c r="U119" s="246" t="s">
        <v>370</v>
      </c>
      <c r="V119" s="246">
        <f t="shared" si="25"/>
        <v>120175</v>
      </c>
      <c r="W119" s="246">
        <v>0</v>
      </c>
      <c r="X119" s="246" t="s">
        <v>371</v>
      </c>
      <c r="Z119" s="246">
        <f t="shared" si="26"/>
        <v>120175</v>
      </c>
      <c r="AC119" s="246" t="s">
        <v>372</v>
      </c>
    </row>
    <row r="120" spans="1:30">
      <c r="A120" s="246" t="s">
        <v>35</v>
      </c>
      <c r="B120" s="246" t="s">
        <v>373</v>
      </c>
      <c r="E120" s="246">
        <v>10139</v>
      </c>
      <c r="F120" s="246" t="s">
        <v>374</v>
      </c>
      <c r="G120" s="246">
        <v>200000</v>
      </c>
      <c r="H120" s="246">
        <f>G120*0.14</f>
        <v>28000.000000000004</v>
      </c>
      <c r="I120" s="246">
        <f>G120*0.1</f>
        <v>20000</v>
      </c>
      <c r="L120" s="246">
        <f>G120*0.005</f>
        <v>1000</v>
      </c>
      <c r="M120" s="246">
        <f>G120*0.005</f>
        <v>1000</v>
      </c>
      <c r="N120" s="246">
        <v>0</v>
      </c>
      <c r="O120" s="246" t="s">
        <v>357</v>
      </c>
      <c r="P120" s="246">
        <v>230000</v>
      </c>
      <c r="U120" s="246" t="s">
        <v>375</v>
      </c>
      <c r="V120" s="246">
        <f t="shared" si="25"/>
        <v>209000</v>
      </c>
      <c r="W120" s="246">
        <v>210000</v>
      </c>
      <c r="Y120" s="246" t="s">
        <v>375</v>
      </c>
      <c r="Z120" s="246">
        <f t="shared" si="26"/>
        <v>-1000</v>
      </c>
      <c r="AC120" s="246" t="s">
        <v>42</v>
      </c>
    </row>
    <row r="121" spans="1:30">
      <c r="A121" s="246" t="s">
        <v>35</v>
      </c>
      <c r="B121" s="246" t="s">
        <v>373</v>
      </c>
      <c r="E121" s="246">
        <v>10140</v>
      </c>
      <c r="F121" s="246" t="s">
        <v>68</v>
      </c>
      <c r="G121" s="246">
        <v>10436</v>
      </c>
      <c r="H121" s="246">
        <v>0</v>
      </c>
      <c r="I121" s="246">
        <v>0</v>
      </c>
      <c r="L121" s="246">
        <v>0</v>
      </c>
      <c r="M121" s="246">
        <v>0</v>
      </c>
      <c r="N121" s="246">
        <v>0</v>
      </c>
      <c r="O121" s="246" t="s">
        <v>127</v>
      </c>
      <c r="P121" s="246">
        <v>10436</v>
      </c>
      <c r="U121" s="246" t="s">
        <v>376</v>
      </c>
      <c r="V121" s="246">
        <f t="shared" si="25"/>
        <v>10436</v>
      </c>
      <c r="W121" s="246">
        <v>10436</v>
      </c>
      <c r="Y121" s="246" t="s">
        <v>377</v>
      </c>
      <c r="Z121" s="246">
        <f t="shared" si="26"/>
        <v>0</v>
      </c>
      <c r="AC121" s="246" t="s">
        <v>42</v>
      </c>
    </row>
    <row r="122" spans="1:30">
      <c r="A122" s="246" t="s">
        <v>35</v>
      </c>
      <c r="B122" s="246" t="s">
        <v>327</v>
      </c>
      <c r="E122" s="246">
        <v>10141</v>
      </c>
      <c r="F122" s="246" t="s">
        <v>378</v>
      </c>
      <c r="G122" s="246">
        <v>375000</v>
      </c>
      <c r="H122" s="246">
        <f>G122*0.14</f>
        <v>52500.000000000007</v>
      </c>
      <c r="I122" s="246">
        <f>G122*0.1</f>
        <v>37500</v>
      </c>
      <c r="L122" s="246">
        <f>G122*0.005</f>
        <v>1875</v>
      </c>
      <c r="M122" s="246">
        <f>G122*0.005</f>
        <v>1875</v>
      </c>
      <c r="N122" s="246">
        <v>445125</v>
      </c>
      <c r="O122" s="246" t="s">
        <v>357</v>
      </c>
      <c r="P122" s="246">
        <v>943143.74</v>
      </c>
      <c r="U122" s="246" t="s">
        <v>379</v>
      </c>
      <c r="V122" s="246">
        <f t="shared" ref="V122:V128" si="27">G122+H122-I122+L122+M122+N122</f>
        <v>838875</v>
      </c>
      <c r="W122" s="246">
        <v>586743</v>
      </c>
      <c r="X122" s="246" t="s">
        <v>380</v>
      </c>
      <c r="Y122" s="246" t="s">
        <v>380</v>
      </c>
      <c r="Z122" s="246">
        <f t="shared" si="26"/>
        <v>252132</v>
      </c>
      <c r="AC122" s="246" t="s">
        <v>372</v>
      </c>
    </row>
    <row r="123" spans="1:30">
      <c r="A123" s="246" t="s">
        <v>35</v>
      </c>
      <c r="B123" s="246" t="s">
        <v>381</v>
      </c>
      <c r="E123" s="246">
        <v>10142</v>
      </c>
      <c r="F123" s="246" t="s">
        <v>382</v>
      </c>
      <c r="G123" s="246">
        <v>250000</v>
      </c>
      <c r="H123" s="246">
        <f>G123*0.14</f>
        <v>35000</v>
      </c>
      <c r="I123" s="246">
        <f>G123*0.1</f>
        <v>25000</v>
      </c>
      <c r="K123" s="246" t="s">
        <v>142</v>
      </c>
      <c r="L123" s="246">
        <f>G123*0.005</f>
        <v>1250</v>
      </c>
      <c r="M123" s="246">
        <f>G123*0.005</f>
        <v>1250</v>
      </c>
      <c r="N123" s="246">
        <v>0</v>
      </c>
      <c r="O123" s="246" t="s">
        <v>357</v>
      </c>
      <c r="P123" s="246">
        <v>287500</v>
      </c>
      <c r="U123" s="246" t="s">
        <v>379</v>
      </c>
      <c r="V123" s="246">
        <f t="shared" si="27"/>
        <v>262500</v>
      </c>
      <c r="W123" s="246">
        <v>262500</v>
      </c>
      <c r="Y123" s="246" t="s">
        <v>383</v>
      </c>
      <c r="Z123" s="246">
        <f t="shared" si="26"/>
        <v>0</v>
      </c>
      <c r="AC123" s="246" t="s">
        <v>314</v>
      </c>
    </row>
    <row r="124" spans="1:30">
      <c r="A124" s="246" t="s">
        <v>35</v>
      </c>
      <c r="B124" s="246" t="s">
        <v>381</v>
      </c>
      <c r="E124" s="246">
        <v>10143</v>
      </c>
      <c r="F124" s="246" t="s">
        <v>68</v>
      </c>
      <c r="G124" s="246">
        <v>10814</v>
      </c>
      <c r="H124" s="246">
        <v>0</v>
      </c>
      <c r="I124" s="246">
        <v>0</v>
      </c>
      <c r="L124" s="246">
        <v>0</v>
      </c>
      <c r="M124" s="246">
        <v>0</v>
      </c>
      <c r="N124" s="246">
        <v>0</v>
      </c>
      <c r="O124" s="246" t="s">
        <v>69</v>
      </c>
      <c r="P124" s="246">
        <v>10814</v>
      </c>
      <c r="U124" s="246" t="s">
        <v>379</v>
      </c>
      <c r="V124" s="246">
        <f t="shared" si="27"/>
        <v>10814</v>
      </c>
      <c r="W124" s="246">
        <v>10814</v>
      </c>
      <c r="Y124" s="246" t="s">
        <v>384</v>
      </c>
      <c r="Z124" s="246">
        <f t="shared" si="26"/>
        <v>0</v>
      </c>
      <c r="AC124" s="246" t="s">
        <v>42</v>
      </c>
    </row>
    <row r="125" spans="1:30">
      <c r="A125" s="246" t="s">
        <v>35</v>
      </c>
      <c r="B125" s="252" t="s">
        <v>385</v>
      </c>
      <c r="C125" s="252"/>
      <c r="D125" s="252"/>
      <c r="E125" s="246">
        <v>10144</v>
      </c>
      <c r="F125" s="246" t="s">
        <v>386</v>
      </c>
      <c r="G125" s="246">
        <v>374345</v>
      </c>
      <c r="H125" s="246">
        <v>0</v>
      </c>
      <c r="I125" s="246">
        <v>0</v>
      </c>
      <c r="L125" s="246">
        <v>0</v>
      </c>
      <c r="M125" s="246">
        <v>0</v>
      </c>
      <c r="N125" s="246">
        <v>0</v>
      </c>
      <c r="O125" s="246" t="s">
        <v>127</v>
      </c>
      <c r="P125" s="246">
        <v>374345</v>
      </c>
      <c r="U125" s="246" t="s">
        <v>292</v>
      </c>
      <c r="V125" s="246">
        <f t="shared" si="27"/>
        <v>374345</v>
      </c>
      <c r="Z125" s="246">
        <f t="shared" si="26"/>
        <v>374345</v>
      </c>
      <c r="AC125" s="246" t="s">
        <v>387</v>
      </c>
    </row>
    <row r="126" spans="1:30">
      <c r="A126" s="246" t="s">
        <v>35</v>
      </c>
      <c r="B126" s="246" t="s">
        <v>388</v>
      </c>
      <c r="E126" s="252">
        <v>10145</v>
      </c>
      <c r="F126" s="246" t="s">
        <v>389</v>
      </c>
      <c r="G126" s="246">
        <v>600000</v>
      </c>
      <c r="H126" s="246">
        <f>G126*0.14</f>
        <v>84000.000000000015</v>
      </c>
      <c r="I126" s="246">
        <f>G126*0.1</f>
        <v>60000</v>
      </c>
      <c r="L126" s="246">
        <f>G126*0.005</f>
        <v>3000</v>
      </c>
      <c r="M126" s="246">
        <f>G126*0.005</f>
        <v>3000</v>
      </c>
      <c r="N126" s="246">
        <v>0</v>
      </c>
      <c r="O126" s="246" t="s">
        <v>357</v>
      </c>
      <c r="P126" s="246">
        <v>690000</v>
      </c>
      <c r="U126" s="246" t="s">
        <v>390</v>
      </c>
      <c r="V126" s="246">
        <f t="shared" si="27"/>
        <v>630000</v>
      </c>
      <c r="W126" s="246">
        <v>0</v>
      </c>
      <c r="X126" s="246" t="s">
        <v>391</v>
      </c>
      <c r="Z126" s="246">
        <f t="shared" si="26"/>
        <v>630000</v>
      </c>
      <c r="AC126" s="246" t="s">
        <v>392</v>
      </c>
    </row>
    <row r="127" spans="1:30">
      <c r="A127" s="246" t="s">
        <v>35</v>
      </c>
      <c r="B127" s="246" t="s">
        <v>393</v>
      </c>
      <c r="E127" s="246">
        <v>10146</v>
      </c>
      <c r="F127" s="246" t="s">
        <v>394</v>
      </c>
      <c r="G127" s="246">
        <v>400000</v>
      </c>
      <c r="H127" s="246">
        <f>G127*0.14</f>
        <v>56000.000000000007</v>
      </c>
      <c r="I127" s="246">
        <f>G127*0.1</f>
        <v>40000</v>
      </c>
      <c r="L127" s="246">
        <f>G127*0.005</f>
        <v>2000</v>
      </c>
      <c r="M127" s="246">
        <f>G127*0.005</f>
        <v>2000</v>
      </c>
      <c r="N127" s="246">
        <v>0</v>
      </c>
      <c r="O127" s="246" t="s">
        <v>357</v>
      </c>
      <c r="P127" s="246">
        <v>460000</v>
      </c>
      <c r="U127" s="246" t="s">
        <v>395</v>
      </c>
      <c r="V127" s="246">
        <f t="shared" si="27"/>
        <v>420000</v>
      </c>
      <c r="W127" s="246">
        <v>0</v>
      </c>
      <c r="X127" s="246" t="s">
        <v>391</v>
      </c>
      <c r="Z127" s="246">
        <f t="shared" si="26"/>
        <v>420000</v>
      </c>
      <c r="AC127" s="246" t="s">
        <v>392</v>
      </c>
    </row>
    <row r="128" spans="1:30">
      <c r="A128" s="246" t="s">
        <v>35</v>
      </c>
      <c r="B128" s="246" t="s">
        <v>232</v>
      </c>
      <c r="E128" s="246">
        <v>10147</v>
      </c>
      <c r="F128" s="246" t="s">
        <v>43</v>
      </c>
      <c r="G128" s="246">
        <v>224720</v>
      </c>
      <c r="H128" s="246">
        <v>0</v>
      </c>
      <c r="I128" s="246">
        <v>0</v>
      </c>
      <c r="L128" s="246">
        <v>0</v>
      </c>
      <c r="M128" s="246">
        <v>0</v>
      </c>
      <c r="N128" s="246">
        <v>0</v>
      </c>
      <c r="O128" s="246" t="s">
        <v>127</v>
      </c>
      <c r="P128" s="246">
        <v>224720</v>
      </c>
      <c r="U128" s="246" t="s">
        <v>396</v>
      </c>
      <c r="V128" s="246">
        <f t="shared" si="27"/>
        <v>224720</v>
      </c>
      <c r="W128" s="246">
        <v>224720</v>
      </c>
      <c r="Z128" s="246">
        <f t="shared" si="26"/>
        <v>0</v>
      </c>
      <c r="AA128" s="246" t="s">
        <v>236</v>
      </c>
      <c r="AC128" s="246" t="s">
        <v>314</v>
      </c>
    </row>
    <row r="129" spans="1:30">
      <c r="A129" s="246" t="s">
        <v>35</v>
      </c>
      <c r="B129" s="246" t="s">
        <v>397</v>
      </c>
      <c r="E129" s="246">
        <v>10148</v>
      </c>
      <c r="F129" s="246" t="s">
        <v>68</v>
      </c>
      <c r="G129" s="246">
        <v>51949</v>
      </c>
      <c r="H129" s="246">
        <f>G129*0.1236</f>
        <v>6420.8963999999996</v>
      </c>
      <c r="I129" s="246">
        <f>G129*0.1</f>
        <v>5194.9000000000005</v>
      </c>
      <c r="L129" s="246">
        <v>0</v>
      </c>
      <c r="M129" s="246">
        <v>0</v>
      </c>
      <c r="N129" s="246">
        <v>0</v>
      </c>
      <c r="O129" s="246" t="s">
        <v>51</v>
      </c>
      <c r="P129" s="246">
        <v>58370</v>
      </c>
      <c r="U129" s="246" t="s">
        <v>398</v>
      </c>
      <c r="V129" s="246">
        <v>58370</v>
      </c>
      <c r="W129" s="246">
        <v>53117</v>
      </c>
      <c r="Y129" s="246" t="s">
        <v>398</v>
      </c>
      <c r="Z129" s="246">
        <f t="shared" si="26"/>
        <v>5253</v>
      </c>
      <c r="AC129" s="246" t="s">
        <v>42</v>
      </c>
    </row>
    <row r="130" spans="1:30">
      <c r="A130" s="246" t="s">
        <v>35</v>
      </c>
      <c r="B130" s="246" t="s">
        <v>290</v>
      </c>
      <c r="E130" s="246">
        <v>10149</v>
      </c>
      <c r="F130" s="246" t="s">
        <v>399</v>
      </c>
      <c r="G130" s="246">
        <v>123077</v>
      </c>
      <c r="H130" s="246">
        <f>G130*0.14</f>
        <v>17230.780000000002</v>
      </c>
      <c r="I130" s="246">
        <f>G130*0.1</f>
        <v>12307.7</v>
      </c>
      <c r="L130" s="246">
        <v>0</v>
      </c>
      <c r="M130" s="246">
        <v>0</v>
      </c>
      <c r="N130" s="246">
        <v>0</v>
      </c>
      <c r="O130" s="246" t="s">
        <v>400</v>
      </c>
      <c r="P130" s="246">
        <v>140308</v>
      </c>
      <c r="U130" s="246" t="s">
        <v>401</v>
      </c>
      <c r="V130" s="246">
        <f t="shared" ref="V130:V145" si="28">G130+H130-I130+L130+M130+N130</f>
        <v>128000.08</v>
      </c>
      <c r="W130" s="246">
        <v>140308</v>
      </c>
      <c r="Z130" s="246">
        <f t="shared" si="26"/>
        <v>-12307.919999999998</v>
      </c>
      <c r="AC130" s="246" t="s">
        <v>42</v>
      </c>
    </row>
    <row r="131" spans="1:30">
      <c r="A131" s="246" t="s">
        <v>35</v>
      </c>
      <c r="B131" s="246" t="s">
        <v>290</v>
      </c>
      <c r="E131" s="246">
        <v>10150</v>
      </c>
      <c r="F131" s="246" t="s">
        <v>402</v>
      </c>
      <c r="G131" s="246">
        <v>76923</v>
      </c>
      <c r="H131" s="246">
        <f>G131*0.14</f>
        <v>10769.220000000001</v>
      </c>
      <c r="I131" s="246">
        <f>G131*0.1</f>
        <v>7692.3</v>
      </c>
      <c r="L131" s="246">
        <v>0</v>
      </c>
      <c r="M131" s="246">
        <v>0</v>
      </c>
      <c r="N131" s="246">
        <v>0</v>
      </c>
      <c r="O131" s="246" t="s">
        <v>400</v>
      </c>
      <c r="P131" s="246">
        <v>87692</v>
      </c>
      <c r="U131" s="246" t="s">
        <v>403</v>
      </c>
      <c r="V131" s="246">
        <f t="shared" si="28"/>
        <v>79999.92</v>
      </c>
      <c r="W131" s="246">
        <v>87692</v>
      </c>
      <c r="X131" s="246" t="s">
        <v>391</v>
      </c>
      <c r="Z131" s="246">
        <f t="shared" si="26"/>
        <v>-7692.0800000000017</v>
      </c>
      <c r="AC131" s="246" t="s">
        <v>42</v>
      </c>
      <c r="AD131" s="246" t="s">
        <v>404</v>
      </c>
    </row>
    <row r="132" spans="1:30">
      <c r="A132" s="246" t="s">
        <v>35</v>
      </c>
      <c r="B132" s="246" t="s">
        <v>405</v>
      </c>
      <c r="E132" s="246">
        <v>10151</v>
      </c>
      <c r="F132" s="246" t="s">
        <v>406</v>
      </c>
      <c r="G132" s="246">
        <v>44063</v>
      </c>
      <c r="H132" s="246">
        <v>0</v>
      </c>
      <c r="I132" s="246">
        <v>0</v>
      </c>
      <c r="L132" s="246">
        <v>0</v>
      </c>
      <c r="M132" s="246">
        <v>0</v>
      </c>
      <c r="N132" s="246">
        <v>0</v>
      </c>
      <c r="O132" s="246" t="s">
        <v>127</v>
      </c>
      <c r="P132" s="246">
        <v>44063</v>
      </c>
      <c r="U132" s="246" t="s">
        <v>407</v>
      </c>
      <c r="V132" s="246">
        <f t="shared" si="28"/>
        <v>44063</v>
      </c>
      <c r="Z132" s="246">
        <f t="shared" si="26"/>
        <v>44063</v>
      </c>
      <c r="AC132" s="246" t="s">
        <v>408</v>
      </c>
    </row>
    <row r="133" spans="1:30">
      <c r="A133" s="246" t="s">
        <v>35</v>
      </c>
      <c r="B133" s="246" t="s">
        <v>405</v>
      </c>
      <c r="E133" s="246">
        <v>10152</v>
      </c>
      <c r="F133" s="246" t="s">
        <v>406</v>
      </c>
      <c r="G133" s="246">
        <v>84646</v>
      </c>
      <c r="H133" s="246">
        <v>0</v>
      </c>
      <c r="I133" s="246">
        <v>0</v>
      </c>
      <c r="L133" s="246">
        <v>0</v>
      </c>
      <c r="M133" s="246">
        <v>0</v>
      </c>
      <c r="N133" s="246">
        <v>0</v>
      </c>
      <c r="O133" s="246" t="s">
        <v>127</v>
      </c>
      <c r="P133" s="246">
        <v>84646</v>
      </c>
      <c r="U133" s="246" t="s">
        <v>409</v>
      </c>
      <c r="V133" s="246">
        <f t="shared" si="28"/>
        <v>84646</v>
      </c>
      <c r="Z133" s="246">
        <f t="shared" si="26"/>
        <v>84646</v>
      </c>
      <c r="AC133" s="246" t="s">
        <v>408</v>
      </c>
    </row>
    <row r="134" spans="1:30">
      <c r="B134" s="246" t="s">
        <v>183</v>
      </c>
      <c r="E134" s="246">
        <v>10153</v>
      </c>
      <c r="F134" s="246" t="s">
        <v>68</v>
      </c>
      <c r="G134" s="246">
        <v>19733</v>
      </c>
      <c r="H134" s="246">
        <f>G134*0.14</f>
        <v>2762.6200000000003</v>
      </c>
      <c r="I134" s="246">
        <f>G134*0.1</f>
        <v>1973.3000000000002</v>
      </c>
      <c r="L134" s="246">
        <f>G134*0.005</f>
        <v>98.665000000000006</v>
      </c>
      <c r="M134" s="246">
        <f>G134*0.005</f>
        <v>98.665000000000006</v>
      </c>
      <c r="N134" s="246">
        <v>0</v>
      </c>
      <c r="O134" s="246" t="s">
        <v>357</v>
      </c>
      <c r="P134" s="246">
        <v>22693</v>
      </c>
      <c r="S134" s="246" t="s">
        <v>353</v>
      </c>
      <c r="U134" s="246" t="s">
        <v>410</v>
      </c>
      <c r="V134" s="246">
        <f t="shared" si="28"/>
        <v>20719.650000000001</v>
      </c>
      <c r="W134" s="246">
        <v>20720</v>
      </c>
      <c r="Y134" s="246" t="s">
        <v>411</v>
      </c>
      <c r="Z134" s="246">
        <f t="shared" si="26"/>
        <v>-0.34999999999854481</v>
      </c>
      <c r="AC134" s="246" t="s">
        <v>42</v>
      </c>
    </row>
    <row r="135" spans="1:30">
      <c r="A135" s="246" t="s">
        <v>35</v>
      </c>
      <c r="B135" s="246" t="s">
        <v>412</v>
      </c>
      <c r="E135" s="246">
        <v>10155</v>
      </c>
      <c r="F135" s="246" t="s">
        <v>68</v>
      </c>
      <c r="G135" s="246">
        <v>19175</v>
      </c>
      <c r="H135" s="246">
        <v>0</v>
      </c>
      <c r="I135" s="246">
        <v>0</v>
      </c>
      <c r="L135" s="246">
        <v>0</v>
      </c>
      <c r="M135" s="246">
        <v>0</v>
      </c>
      <c r="N135" s="246">
        <v>0</v>
      </c>
      <c r="O135" s="246" t="s">
        <v>127</v>
      </c>
      <c r="P135" s="246">
        <v>19175</v>
      </c>
      <c r="U135" s="246" t="s">
        <v>413</v>
      </c>
      <c r="V135" s="246">
        <f t="shared" si="28"/>
        <v>19175</v>
      </c>
      <c r="W135" s="246">
        <v>19175</v>
      </c>
      <c r="Y135" s="246" t="s">
        <v>414</v>
      </c>
      <c r="Z135" s="246">
        <f t="shared" si="26"/>
        <v>0</v>
      </c>
      <c r="AC135" s="246" t="s">
        <v>42</v>
      </c>
    </row>
    <row r="136" spans="1:30">
      <c r="A136" s="246" t="s">
        <v>35</v>
      </c>
      <c r="B136" s="246" t="s">
        <v>412</v>
      </c>
      <c r="E136" s="246">
        <v>10156</v>
      </c>
      <c r="F136" s="246" t="s">
        <v>68</v>
      </c>
      <c r="G136" s="246">
        <v>39861</v>
      </c>
      <c r="H136" s="246">
        <v>0</v>
      </c>
      <c r="I136" s="246">
        <v>0</v>
      </c>
      <c r="L136" s="246">
        <v>0</v>
      </c>
      <c r="M136" s="246">
        <v>0</v>
      </c>
      <c r="N136" s="246">
        <v>0</v>
      </c>
      <c r="O136" s="246" t="s">
        <v>127</v>
      </c>
      <c r="P136" s="246">
        <v>39861</v>
      </c>
      <c r="U136" s="246" t="s">
        <v>415</v>
      </c>
      <c r="V136" s="246">
        <f t="shared" si="28"/>
        <v>39861</v>
      </c>
      <c r="W136" s="246">
        <v>39861</v>
      </c>
      <c r="Y136" s="246" t="s">
        <v>416</v>
      </c>
      <c r="Z136" s="246">
        <f t="shared" si="26"/>
        <v>0</v>
      </c>
      <c r="AC136" s="246" t="s">
        <v>42</v>
      </c>
    </row>
    <row r="137" spans="1:30" ht="150" customHeight="1">
      <c r="A137" s="246" t="s">
        <v>35</v>
      </c>
      <c r="B137" s="246" t="s">
        <v>417</v>
      </c>
      <c r="E137" s="246">
        <v>10157</v>
      </c>
      <c r="F137" s="250" t="s">
        <v>418</v>
      </c>
      <c r="G137" s="246">
        <v>450000</v>
      </c>
      <c r="H137" s="246">
        <f>G137*0.14</f>
        <v>63000.000000000007</v>
      </c>
      <c r="I137" s="246">
        <f>G137*0.1</f>
        <v>45000</v>
      </c>
      <c r="K137" s="246" t="s">
        <v>142</v>
      </c>
      <c r="L137" s="246">
        <f>G137*0.005</f>
        <v>2250</v>
      </c>
      <c r="M137" s="246">
        <f>G137*0.005</f>
        <v>2250</v>
      </c>
      <c r="N137" s="246">
        <v>0</v>
      </c>
      <c r="O137" s="246" t="s">
        <v>357</v>
      </c>
      <c r="P137" s="246">
        <v>517000</v>
      </c>
      <c r="U137" s="246" t="s">
        <v>419</v>
      </c>
      <c r="V137" s="246">
        <f t="shared" si="28"/>
        <v>472500</v>
      </c>
      <c r="W137" s="246">
        <v>472500</v>
      </c>
      <c r="Y137" s="246" t="s">
        <v>420</v>
      </c>
      <c r="Z137" s="246">
        <f t="shared" si="26"/>
        <v>0</v>
      </c>
      <c r="AC137" s="246" t="s">
        <v>42</v>
      </c>
    </row>
    <row r="138" spans="1:30">
      <c r="A138" s="246" t="s">
        <v>35</v>
      </c>
      <c r="B138" s="246" t="s">
        <v>421</v>
      </c>
      <c r="E138" s="246">
        <v>10158</v>
      </c>
      <c r="F138" s="246" t="s">
        <v>422</v>
      </c>
      <c r="G138" s="246">
        <v>800000</v>
      </c>
      <c r="H138" s="246">
        <f>G138*0.14</f>
        <v>112000.00000000001</v>
      </c>
      <c r="I138" s="246">
        <f>G138*0.1</f>
        <v>80000</v>
      </c>
      <c r="L138" s="246">
        <f>G138*0.005</f>
        <v>4000</v>
      </c>
      <c r="M138" s="246">
        <f>G138*0.005</f>
        <v>4000</v>
      </c>
      <c r="N138" s="246">
        <v>0</v>
      </c>
      <c r="O138" s="246" t="s">
        <v>357</v>
      </c>
      <c r="P138" s="246">
        <v>920000</v>
      </c>
      <c r="U138" s="246" t="s">
        <v>423</v>
      </c>
      <c r="V138" s="246">
        <f t="shared" si="28"/>
        <v>840000</v>
      </c>
      <c r="W138" s="246">
        <v>0</v>
      </c>
      <c r="X138" s="246" t="s">
        <v>391</v>
      </c>
      <c r="Z138" s="246">
        <f t="shared" si="26"/>
        <v>840000</v>
      </c>
      <c r="AC138" s="246" t="s">
        <v>424</v>
      </c>
    </row>
    <row r="139" spans="1:30">
      <c r="A139" s="246" t="s">
        <v>35</v>
      </c>
      <c r="B139" s="246" t="s">
        <v>350</v>
      </c>
      <c r="E139" s="246">
        <v>10159</v>
      </c>
      <c r="F139" s="246" t="s">
        <v>425</v>
      </c>
      <c r="G139" s="246">
        <v>4000</v>
      </c>
      <c r="H139" s="246">
        <v>0</v>
      </c>
      <c r="I139" s="246">
        <v>0</v>
      </c>
      <c r="L139" s="246">
        <v>0</v>
      </c>
      <c r="M139" s="246">
        <v>0</v>
      </c>
      <c r="N139" s="246">
        <v>0</v>
      </c>
      <c r="O139" s="246" t="s">
        <v>127</v>
      </c>
      <c r="P139" s="246">
        <v>4000</v>
      </c>
      <c r="U139" s="246" t="s">
        <v>426</v>
      </c>
      <c r="V139" s="246">
        <f t="shared" si="28"/>
        <v>4000</v>
      </c>
      <c r="W139" s="246">
        <v>4000</v>
      </c>
      <c r="Y139" s="246" t="s">
        <v>366</v>
      </c>
      <c r="Z139" s="246">
        <f t="shared" si="26"/>
        <v>0</v>
      </c>
      <c r="AC139" s="246" t="s">
        <v>95</v>
      </c>
    </row>
    <row r="140" spans="1:30">
      <c r="A140" s="246" t="s">
        <v>35</v>
      </c>
      <c r="B140" s="246" t="s">
        <v>427</v>
      </c>
      <c r="C140" s="246" t="s">
        <v>45</v>
      </c>
      <c r="E140" s="246">
        <v>10160</v>
      </c>
      <c r="F140" s="246" t="s">
        <v>428</v>
      </c>
      <c r="G140" s="246">
        <v>500000</v>
      </c>
      <c r="H140" s="246">
        <f>G140*0.14</f>
        <v>70000</v>
      </c>
      <c r="I140" s="246">
        <f>G140*0.1</f>
        <v>50000</v>
      </c>
      <c r="L140" s="246">
        <f>G140*0.005</f>
        <v>2500</v>
      </c>
      <c r="M140" s="246">
        <f>G140*0.005</f>
        <v>2500</v>
      </c>
      <c r="N140" s="246">
        <v>0</v>
      </c>
      <c r="O140" s="246" t="s">
        <v>357</v>
      </c>
      <c r="P140" s="246">
        <v>575000</v>
      </c>
      <c r="U140" s="246" t="s">
        <v>429</v>
      </c>
      <c r="V140" s="246">
        <f t="shared" si="28"/>
        <v>525000</v>
      </c>
      <c r="W140" s="246">
        <v>525000</v>
      </c>
      <c r="Y140" s="246" t="s">
        <v>430</v>
      </c>
      <c r="Z140" s="246">
        <f t="shared" si="26"/>
        <v>0</v>
      </c>
      <c r="AC140" s="246" t="s">
        <v>42</v>
      </c>
    </row>
    <row r="141" spans="1:30">
      <c r="A141" s="246" t="s">
        <v>35</v>
      </c>
      <c r="B141" s="246" t="s">
        <v>427</v>
      </c>
      <c r="C141" s="246" t="s">
        <v>45</v>
      </c>
      <c r="E141" s="246">
        <v>10161</v>
      </c>
      <c r="F141" s="246" t="s">
        <v>309</v>
      </c>
      <c r="G141" s="246">
        <v>187500</v>
      </c>
      <c r="H141" s="246">
        <f>G141*0.14</f>
        <v>26250.000000000004</v>
      </c>
      <c r="I141" s="246">
        <f>G141*0.1</f>
        <v>18750</v>
      </c>
      <c r="L141" s="246">
        <f>G141*0.005</f>
        <v>937.5</v>
      </c>
      <c r="M141" s="246">
        <f>G141*0.005</f>
        <v>937.5</v>
      </c>
      <c r="N141" s="246">
        <v>0</v>
      </c>
      <c r="O141" s="246" t="s">
        <v>357</v>
      </c>
      <c r="P141" s="246">
        <v>215626</v>
      </c>
      <c r="U141" s="246" t="s">
        <v>431</v>
      </c>
      <c r="V141" s="246">
        <f t="shared" si="28"/>
        <v>196875</v>
      </c>
      <c r="W141" s="246">
        <v>196876</v>
      </c>
      <c r="Y141" s="246" t="s">
        <v>432</v>
      </c>
      <c r="Z141" s="246">
        <f t="shared" si="26"/>
        <v>-1</v>
      </c>
      <c r="AC141" s="246" t="s">
        <v>42</v>
      </c>
    </row>
    <row r="142" spans="1:30">
      <c r="A142" s="246" t="s">
        <v>35</v>
      </c>
      <c r="B142" s="246" t="s">
        <v>240</v>
      </c>
      <c r="E142" s="246">
        <v>10162</v>
      </c>
      <c r="F142" s="246" t="s">
        <v>433</v>
      </c>
      <c r="G142" s="246" t="s">
        <v>434</v>
      </c>
      <c r="H142" s="246">
        <v>0</v>
      </c>
      <c r="I142" s="246">
        <v>0</v>
      </c>
      <c r="L142" s="246">
        <v>0</v>
      </c>
      <c r="M142" s="246">
        <v>0</v>
      </c>
      <c r="N142" s="246">
        <v>0</v>
      </c>
      <c r="O142" s="246" t="s">
        <v>127</v>
      </c>
      <c r="P142" s="246" t="s">
        <v>434</v>
      </c>
      <c r="U142" s="246" t="s">
        <v>435</v>
      </c>
      <c r="V142" s="246" t="e">
        <f t="shared" si="28"/>
        <v>#VALUE!</v>
      </c>
      <c r="W142" s="246" t="s">
        <v>436</v>
      </c>
      <c r="Y142" s="246" t="s">
        <v>437</v>
      </c>
      <c r="Z142" s="246" t="e">
        <f>V142-#REF!</f>
        <v>#VALUE!</v>
      </c>
      <c r="AC142" s="246" t="s">
        <v>42</v>
      </c>
    </row>
    <row r="143" spans="1:30" ht="75" customHeight="1">
      <c r="A143" s="246" t="s">
        <v>35</v>
      </c>
      <c r="B143" s="250" t="s">
        <v>438</v>
      </c>
      <c r="C143" s="250"/>
      <c r="D143" s="250"/>
      <c r="E143" s="246">
        <v>10163</v>
      </c>
      <c r="F143" s="246" t="s">
        <v>68</v>
      </c>
      <c r="G143" s="246">
        <v>28855</v>
      </c>
      <c r="H143" s="246">
        <v>0</v>
      </c>
      <c r="I143" s="246">
        <v>0</v>
      </c>
      <c r="L143" s="246">
        <v>0</v>
      </c>
      <c r="M143" s="246">
        <v>0</v>
      </c>
      <c r="N143" s="246">
        <v>0</v>
      </c>
      <c r="O143" s="246" t="s">
        <v>127</v>
      </c>
      <c r="P143" s="246">
        <v>28855</v>
      </c>
      <c r="U143" s="246" t="s">
        <v>429</v>
      </c>
      <c r="V143" s="246">
        <f t="shared" si="28"/>
        <v>28855</v>
      </c>
      <c r="W143" s="246">
        <v>28856</v>
      </c>
      <c r="Y143" s="246" t="s">
        <v>439</v>
      </c>
      <c r="Z143" s="246">
        <f>V143-W143</f>
        <v>-1</v>
      </c>
      <c r="AC143" s="246" t="s">
        <v>42</v>
      </c>
    </row>
    <row r="144" spans="1:30">
      <c r="A144" s="246" t="s">
        <v>35</v>
      </c>
      <c r="B144" s="252" t="s">
        <v>440</v>
      </c>
      <c r="C144" s="252"/>
      <c r="D144" s="252"/>
      <c r="E144" s="246">
        <v>10165</v>
      </c>
      <c r="F144" s="246" t="s">
        <v>441</v>
      </c>
      <c r="G144" s="246">
        <v>90000</v>
      </c>
      <c r="H144" s="246">
        <f>G144*0.14</f>
        <v>12600.000000000002</v>
      </c>
      <c r="I144" s="246">
        <f>G144*0.1</f>
        <v>9000</v>
      </c>
      <c r="L144" s="246">
        <f>G144*0.005</f>
        <v>450</v>
      </c>
      <c r="M144" s="246">
        <f>G144*0.005</f>
        <v>450</v>
      </c>
      <c r="N144" s="246">
        <v>0</v>
      </c>
      <c r="O144" s="246" t="s">
        <v>357</v>
      </c>
      <c r="P144" s="246">
        <v>103500</v>
      </c>
      <c r="U144" s="246" t="s">
        <v>442</v>
      </c>
      <c r="V144" s="246">
        <f t="shared" si="28"/>
        <v>94500</v>
      </c>
      <c r="W144" s="246">
        <v>93150</v>
      </c>
      <c r="Y144" s="246" t="s">
        <v>443</v>
      </c>
      <c r="Z144" s="246">
        <f>V144-W144</f>
        <v>1350</v>
      </c>
      <c r="AC144" s="246" t="s">
        <v>42</v>
      </c>
    </row>
    <row r="145" spans="1:32">
      <c r="A145" s="246" t="s">
        <v>35</v>
      </c>
      <c r="B145" s="246" t="s">
        <v>412</v>
      </c>
      <c r="E145" s="246">
        <v>10166</v>
      </c>
      <c r="F145" s="246" t="s">
        <v>68</v>
      </c>
      <c r="G145" s="246">
        <v>31418</v>
      </c>
      <c r="L145" s="246">
        <v>0</v>
      </c>
      <c r="M145" s="246">
        <v>0</v>
      </c>
      <c r="N145" s="246">
        <v>0</v>
      </c>
      <c r="P145" s="246">
        <v>31418</v>
      </c>
      <c r="U145" s="246" t="s">
        <v>444</v>
      </c>
      <c r="V145" s="246">
        <f t="shared" si="28"/>
        <v>31418</v>
      </c>
      <c r="W145" s="246">
        <v>31418</v>
      </c>
      <c r="Y145" s="246" t="s">
        <v>445</v>
      </c>
      <c r="Z145" s="246">
        <f>V145-W145</f>
        <v>0</v>
      </c>
      <c r="AC145" s="246" t="s">
        <v>446</v>
      </c>
    </row>
    <row r="146" spans="1:32">
      <c r="A146" s="246" t="s">
        <v>35</v>
      </c>
      <c r="B146" s="246" t="s">
        <v>412</v>
      </c>
      <c r="E146" s="246">
        <v>10166</v>
      </c>
      <c r="F146" s="246" t="s">
        <v>68</v>
      </c>
      <c r="G146" s="246">
        <v>36210</v>
      </c>
      <c r="H146" s="246">
        <v>0</v>
      </c>
      <c r="I146" s="246">
        <v>0</v>
      </c>
      <c r="L146" s="246">
        <v>0</v>
      </c>
      <c r="M146" s="246">
        <v>0</v>
      </c>
      <c r="N146" s="246">
        <v>0</v>
      </c>
      <c r="O146" s="246" t="s">
        <v>68</v>
      </c>
      <c r="P146" s="246">
        <v>36210</v>
      </c>
      <c r="U146" s="246" t="s">
        <v>447</v>
      </c>
      <c r="V146" s="246">
        <v>36210</v>
      </c>
      <c r="W146" s="246">
        <v>36210</v>
      </c>
      <c r="Y146" s="246" t="s">
        <v>448</v>
      </c>
    </row>
    <row r="147" spans="1:32">
      <c r="A147" s="246" t="s">
        <v>35</v>
      </c>
      <c r="B147" s="246" t="s">
        <v>449</v>
      </c>
      <c r="E147" s="246">
        <v>10167</v>
      </c>
      <c r="F147" s="246" t="s">
        <v>68</v>
      </c>
      <c r="G147" s="246">
        <v>369167</v>
      </c>
      <c r="O147" s="246" t="s">
        <v>127</v>
      </c>
      <c r="P147" s="246">
        <v>369167</v>
      </c>
      <c r="U147" s="246" t="s">
        <v>450</v>
      </c>
      <c r="V147" s="246">
        <v>369167</v>
      </c>
      <c r="W147" s="246">
        <v>369167</v>
      </c>
      <c r="Y147" s="246" t="s">
        <v>371</v>
      </c>
    </row>
    <row r="148" spans="1:32" ht="30" customHeight="1">
      <c r="A148" s="246" t="s">
        <v>35</v>
      </c>
      <c r="B148" s="246" t="s">
        <v>417</v>
      </c>
      <c r="E148" s="246">
        <v>10167</v>
      </c>
      <c r="F148" s="250" t="s">
        <v>453</v>
      </c>
      <c r="G148" s="246">
        <v>150000</v>
      </c>
      <c r="H148" s="246">
        <f>(G148*0.14)</f>
        <v>21000.000000000004</v>
      </c>
      <c r="I148" s="246">
        <f t="shared" ref="I148:I152" si="29">G148*0.1</f>
        <v>15000</v>
      </c>
      <c r="L148" s="246">
        <f t="shared" ref="L148:L152" si="30">G148*0.005</f>
        <v>750</v>
      </c>
      <c r="M148" s="246">
        <f t="shared" ref="M148:M152" si="31">G148*0.005</f>
        <v>750</v>
      </c>
      <c r="N148" s="246">
        <v>0</v>
      </c>
      <c r="O148" s="246" t="s">
        <v>357</v>
      </c>
      <c r="P148" s="246">
        <v>172500</v>
      </c>
      <c r="U148" s="246" t="s">
        <v>454</v>
      </c>
      <c r="V148" s="246">
        <f t="shared" ref="V148:V152" si="32">G148+H148-I148+L148+M148+N148</f>
        <v>157500</v>
      </c>
      <c r="W148" s="246">
        <v>157500</v>
      </c>
      <c r="X148" s="246" t="s">
        <v>455</v>
      </c>
      <c r="Y148" s="246" t="s">
        <v>456</v>
      </c>
      <c r="Z148" s="246">
        <f>V148-W148</f>
        <v>0</v>
      </c>
      <c r="AA148" s="246" t="s">
        <v>457</v>
      </c>
      <c r="AC148" s="246" t="s">
        <v>446</v>
      </c>
    </row>
    <row r="149" spans="1:32" ht="75" customHeight="1">
      <c r="A149" s="246" t="s">
        <v>35</v>
      </c>
      <c r="B149" s="246" t="s">
        <v>373</v>
      </c>
      <c r="E149" s="246">
        <v>10168</v>
      </c>
      <c r="F149" s="250" t="s">
        <v>458</v>
      </c>
      <c r="G149" s="246">
        <v>400000</v>
      </c>
      <c r="H149" s="246">
        <f>(G149*0.14)</f>
        <v>56000.000000000007</v>
      </c>
      <c r="I149" s="246">
        <f t="shared" si="29"/>
        <v>40000</v>
      </c>
      <c r="L149" s="246">
        <f t="shared" si="30"/>
        <v>2000</v>
      </c>
      <c r="M149" s="246">
        <f t="shared" si="31"/>
        <v>2000</v>
      </c>
      <c r="N149" s="246">
        <v>0</v>
      </c>
      <c r="O149" s="246" t="s">
        <v>357</v>
      </c>
      <c r="P149" s="246">
        <v>848010</v>
      </c>
      <c r="U149" s="246" t="s">
        <v>435</v>
      </c>
      <c r="V149" s="246">
        <f t="shared" si="32"/>
        <v>420000</v>
      </c>
      <c r="W149" s="246">
        <v>420000</v>
      </c>
      <c r="Y149" s="246" t="s">
        <v>459</v>
      </c>
      <c r="Z149" s="246">
        <f>V149-W149</f>
        <v>0</v>
      </c>
      <c r="AC149" s="246" t="s">
        <v>460</v>
      </c>
      <c r="AD149" s="246" t="s">
        <v>461</v>
      </c>
    </row>
    <row r="150" spans="1:32">
      <c r="A150" s="246" t="s">
        <v>35</v>
      </c>
      <c r="B150" s="251" t="s">
        <v>462</v>
      </c>
      <c r="C150" s="251"/>
      <c r="D150" s="251"/>
      <c r="E150" s="251">
        <v>10169</v>
      </c>
      <c r="F150" s="251" t="s">
        <v>406</v>
      </c>
      <c r="G150" s="251">
        <v>200000</v>
      </c>
      <c r="H150" s="251">
        <f>(G150*0.14)</f>
        <v>28000.000000000004</v>
      </c>
      <c r="I150" s="251">
        <f t="shared" si="29"/>
        <v>20000</v>
      </c>
      <c r="J150" s="251"/>
      <c r="K150" s="251"/>
      <c r="L150" s="251">
        <f t="shared" si="30"/>
        <v>1000</v>
      </c>
      <c r="M150" s="251">
        <f t="shared" si="31"/>
        <v>1000</v>
      </c>
      <c r="N150" s="251">
        <v>0</v>
      </c>
      <c r="O150" s="251" t="s">
        <v>357</v>
      </c>
      <c r="P150" s="251">
        <v>230000</v>
      </c>
      <c r="Q150" s="251"/>
      <c r="R150" s="251"/>
      <c r="S150" s="251"/>
      <c r="T150" s="251"/>
      <c r="U150" s="251" t="s">
        <v>463</v>
      </c>
      <c r="V150" s="251">
        <f t="shared" si="32"/>
        <v>210000</v>
      </c>
      <c r="W150" s="251">
        <v>208940</v>
      </c>
      <c r="X150" s="251"/>
      <c r="Y150" s="251" t="s">
        <v>452</v>
      </c>
      <c r="Z150" s="251">
        <f>V150-W150</f>
        <v>1060</v>
      </c>
      <c r="AC150" s="251" t="s">
        <v>464</v>
      </c>
      <c r="AD150" s="251"/>
      <c r="AE150" s="251"/>
      <c r="AF150" s="251"/>
    </row>
    <row r="151" spans="1:32">
      <c r="A151" s="246" t="s">
        <v>35</v>
      </c>
      <c r="B151" s="246" t="s">
        <v>465</v>
      </c>
      <c r="C151" s="246" t="s">
        <v>45</v>
      </c>
      <c r="E151" s="246">
        <v>10170</v>
      </c>
      <c r="F151" s="246" t="s">
        <v>466</v>
      </c>
      <c r="G151" s="246">
        <v>350000</v>
      </c>
      <c r="H151" s="246">
        <f>(G151*0.14)</f>
        <v>49000.000000000007</v>
      </c>
      <c r="I151" s="246">
        <f t="shared" si="29"/>
        <v>35000</v>
      </c>
      <c r="L151" s="246">
        <f t="shared" si="30"/>
        <v>1750</v>
      </c>
      <c r="M151" s="246">
        <f t="shared" si="31"/>
        <v>1750</v>
      </c>
      <c r="N151" s="246">
        <v>0</v>
      </c>
      <c r="O151" s="246" t="s">
        <v>357</v>
      </c>
      <c r="P151" s="246">
        <v>402000</v>
      </c>
      <c r="U151" s="246" t="s">
        <v>467</v>
      </c>
      <c r="V151" s="246">
        <f t="shared" si="32"/>
        <v>367500</v>
      </c>
      <c r="W151" s="246">
        <v>367500</v>
      </c>
      <c r="Y151" s="246" t="s">
        <v>468</v>
      </c>
      <c r="Z151" s="246">
        <f>V151-W151</f>
        <v>0</v>
      </c>
      <c r="AC151" s="246" t="s">
        <v>95</v>
      </c>
    </row>
    <row r="152" spans="1:32" ht="90" customHeight="1">
      <c r="A152" s="246" t="s">
        <v>35</v>
      </c>
      <c r="B152" s="260" t="s">
        <v>469</v>
      </c>
      <c r="C152" s="250"/>
      <c r="D152" s="250"/>
      <c r="E152" s="246">
        <v>10171</v>
      </c>
      <c r="F152" s="250" t="s">
        <v>470</v>
      </c>
      <c r="G152" s="246">
        <v>370000</v>
      </c>
      <c r="H152" s="246">
        <f>(G152*0.14)</f>
        <v>51800.000000000007</v>
      </c>
      <c r="I152" s="246">
        <f t="shared" si="29"/>
        <v>37000</v>
      </c>
      <c r="L152" s="246">
        <f t="shared" si="30"/>
        <v>1850</v>
      </c>
      <c r="M152" s="246">
        <f t="shared" si="31"/>
        <v>1850</v>
      </c>
      <c r="N152" s="246">
        <v>0</v>
      </c>
      <c r="O152" s="246" t="s">
        <v>357</v>
      </c>
      <c r="P152" s="246">
        <v>425000</v>
      </c>
      <c r="U152" s="246" t="s">
        <v>468</v>
      </c>
      <c r="V152" s="246">
        <f t="shared" si="32"/>
        <v>388500</v>
      </c>
    </row>
    <row r="153" spans="1:32" ht="60" customHeight="1">
      <c r="A153" s="246" t="s">
        <v>35</v>
      </c>
      <c r="B153" s="246" t="s">
        <v>75</v>
      </c>
      <c r="E153" s="246">
        <v>10171</v>
      </c>
      <c r="F153" s="250" t="s">
        <v>471</v>
      </c>
      <c r="G153" s="246">
        <v>6000</v>
      </c>
      <c r="O153" s="246" t="s">
        <v>127</v>
      </c>
      <c r="P153" s="246" t="s">
        <v>284</v>
      </c>
      <c r="U153" s="246" t="s">
        <v>472</v>
      </c>
      <c r="V153" s="246" t="s">
        <v>284</v>
      </c>
      <c r="W153" s="246" t="s">
        <v>473</v>
      </c>
    </row>
    <row r="154" spans="1:32">
      <c r="A154" s="246" t="s">
        <v>35</v>
      </c>
      <c r="B154" s="246" t="s">
        <v>373</v>
      </c>
      <c r="E154" s="246">
        <v>10172</v>
      </c>
      <c r="F154" s="246" t="s">
        <v>474</v>
      </c>
      <c r="G154" s="246">
        <v>400000</v>
      </c>
      <c r="H154" s="246">
        <f t="shared" ref="H154:H159" si="33">(G154*0.14)</f>
        <v>56000.000000000007</v>
      </c>
      <c r="I154" s="246">
        <f t="shared" ref="I154:I159" si="34">G154*0.1</f>
        <v>40000</v>
      </c>
      <c r="L154" s="246">
        <f t="shared" ref="L154:L159" si="35">G154*0.005</f>
        <v>2000</v>
      </c>
      <c r="M154" s="246">
        <f t="shared" ref="M154:M159" si="36">G154*0.005</f>
        <v>2000</v>
      </c>
      <c r="N154" s="246">
        <v>0</v>
      </c>
      <c r="O154" s="246" t="s">
        <v>357</v>
      </c>
      <c r="U154" s="246" t="s">
        <v>472</v>
      </c>
      <c r="V154" s="246">
        <f t="shared" ref="V154:V159" si="37">G154+H154-I154+L154+M154+N154</f>
        <v>420000</v>
      </c>
      <c r="W154" s="246">
        <v>420000</v>
      </c>
      <c r="X154" s="246" t="s">
        <v>475</v>
      </c>
      <c r="Y154" s="246" t="s">
        <v>476</v>
      </c>
    </row>
    <row r="155" spans="1:32" ht="60" customHeight="1">
      <c r="A155" s="246" t="s">
        <v>35</v>
      </c>
      <c r="B155" s="246" t="s">
        <v>451</v>
      </c>
      <c r="C155" s="250" t="s">
        <v>45</v>
      </c>
      <c r="D155" s="250"/>
      <c r="E155" s="246">
        <v>10173</v>
      </c>
      <c r="F155" s="250" t="s">
        <v>477</v>
      </c>
      <c r="G155" s="246">
        <v>490000</v>
      </c>
      <c r="H155" s="246">
        <f t="shared" si="33"/>
        <v>68600</v>
      </c>
      <c r="I155" s="246">
        <f t="shared" si="34"/>
        <v>49000</v>
      </c>
      <c r="L155" s="246">
        <f t="shared" si="35"/>
        <v>2450</v>
      </c>
      <c r="M155" s="246">
        <f t="shared" si="36"/>
        <v>2450</v>
      </c>
      <c r="N155" s="246">
        <v>0</v>
      </c>
      <c r="O155" s="246" t="s">
        <v>357</v>
      </c>
      <c r="P155" s="246">
        <v>536500</v>
      </c>
      <c r="U155" s="246" t="s">
        <v>472</v>
      </c>
      <c r="V155" s="246">
        <f t="shared" si="37"/>
        <v>514500</v>
      </c>
      <c r="W155" s="246">
        <v>514255</v>
      </c>
      <c r="X155" s="246" t="s">
        <v>478</v>
      </c>
      <c r="Y155" s="246" t="s">
        <v>479</v>
      </c>
    </row>
    <row r="156" spans="1:32">
      <c r="A156" s="246" t="s">
        <v>35</v>
      </c>
      <c r="B156" s="246" t="s">
        <v>350</v>
      </c>
      <c r="C156" s="250" t="s">
        <v>45</v>
      </c>
      <c r="D156" s="250"/>
      <c r="E156" s="246">
        <v>10174</v>
      </c>
      <c r="F156" s="246" t="s">
        <v>480</v>
      </c>
      <c r="G156" s="246">
        <v>340000</v>
      </c>
      <c r="H156" s="246">
        <f t="shared" si="33"/>
        <v>47600.000000000007</v>
      </c>
      <c r="I156" s="246">
        <f t="shared" si="34"/>
        <v>34000</v>
      </c>
      <c r="K156" s="246" t="s">
        <v>142</v>
      </c>
      <c r="L156" s="246">
        <f t="shared" si="35"/>
        <v>1700</v>
      </c>
      <c r="M156" s="246">
        <f t="shared" si="36"/>
        <v>1700</v>
      </c>
      <c r="N156" s="246">
        <v>0</v>
      </c>
      <c r="O156" s="246" t="s">
        <v>357</v>
      </c>
      <c r="P156" s="246">
        <v>391000</v>
      </c>
      <c r="U156" s="246" t="s">
        <v>481</v>
      </c>
      <c r="V156" s="246">
        <f t="shared" si="37"/>
        <v>357000</v>
      </c>
      <c r="W156" s="246">
        <v>351000</v>
      </c>
      <c r="Y156" s="246" t="s">
        <v>482</v>
      </c>
      <c r="AD156" s="246" t="s">
        <v>483</v>
      </c>
    </row>
    <row r="157" spans="1:32">
      <c r="A157" s="246" t="s">
        <v>35</v>
      </c>
      <c r="B157" s="246" t="s">
        <v>287</v>
      </c>
      <c r="E157" s="246">
        <v>10175</v>
      </c>
      <c r="F157" s="246" t="s">
        <v>484</v>
      </c>
      <c r="G157" s="246">
        <v>56971</v>
      </c>
      <c r="H157" s="246">
        <f t="shared" si="33"/>
        <v>7975.9400000000005</v>
      </c>
      <c r="I157" s="246">
        <f t="shared" si="34"/>
        <v>5697.1</v>
      </c>
      <c r="K157" s="246" t="s">
        <v>142</v>
      </c>
      <c r="L157" s="246">
        <f t="shared" si="35"/>
        <v>284.85500000000002</v>
      </c>
      <c r="M157" s="246">
        <f t="shared" si="36"/>
        <v>284.85500000000002</v>
      </c>
      <c r="N157" s="246">
        <v>43620</v>
      </c>
      <c r="O157" s="246" t="s">
        <v>357</v>
      </c>
      <c r="P157" s="246">
        <v>109136</v>
      </c>
      <c r="U157" s="246" t="s">
        <v>485</v>
      </c>
      <c r="V157" s="246">
        <f t="shared" si="37"/>
        <v>103439.55000000002</v>
      </c>
      <c r="W157" s="246">
        <v>103439</v>
      </c>
      <c r="X157" s="246" t="s">
        <v>486</v>
      </c>
      <c r="Y157" s="246" t="s">
        <v>487</v>
      </c>
      <c r="Z157" s="246">
        <v>0</v>
      </c>
    </row>
    <row r="158" spans="1:32" ht="60" customHeight="1">
      <c r="A158" s="246" t="s">
        <v>35</v>
      </c>
      <c r="B158" s="246" t="s">
        <v>381</v>
      </c>
      <c r="C158" s="250" t="s">
        <v>45</v>
      </c>
      <c r="D158" s="250"/>
      <c r="E158" s="255">
        <v>10176</v>
      </c>
      <c r="F158" s="250" t="s">
        <v>488</v>
      </c>
      <c r="G158" s="246">
        <v>750000</v>
      </c>
      <c r="H158" s="246">
        <f t="shared" si="33"/>
        <v>105000.00000000001</v>
      </c>
      <c r="I158" s="246">
        <f t="shared" si="34"/>
        <v>75000</v>
      </c>
      <c r="L158" s="246">
        <f t="shared" si="35"/>
        <v>3750</v>
      </c>
      <c r="M158" s="246">
        <f t="shared" si="36"/>
        <v>3750</v>
      </c>
      <c r="O158" s="246" t="s">
        <v>357</v>
      </c>
      <c r="P158" s="246">
        <v>862500</v>
      </c>
      <c r="U158" s="246" t="s">
        <v>489</v>
      </c>
      <c r="V158" s="246">
        <f t="shared" si="37"/>
        <v>787500</v>
      </c>
      <c r="W158" s="246">
        <v>787500</v>
      </c>
      <c r="X158" s="246" t="s">
        <v>478</v>
      </c>
      <c r="Y158" s="246" t="s">
        <v>490</v>
      </c>
    </row>
    <row r="159" spans="1:32">
      <c r="A159" s="246" t="s">
        <v>35</v>
      </c>
      <c r="B159" s="252" t="s">
        <v>440</v>
      </c>
      <c r="C159" s="246" t="s">
        <v>45</v>
      </c>
      <c r="E159" s="246">
        <v>10177</v>
      </c>
      <c r="F159" s="246" t="s">
        <v>491</v>
      </c>
      <c r="G159" s="246">
        <v>100000</v>
      </c>
      <c r="H159" s="246">
        <f t="shared" si="33"/>
        <v>14000.000000000002</v>
      </c>
      <c r="I159" s="246">
        <f t="shared" si="34"/>
        <v>10000</v>
      </c>
      <c r="L159" s="246">
        <f t="shared" si="35"/>
        <v>500</v>
      </c>
      <c r="M159" s="246">
        <f t="shared" si="36"/>
        <v>500</v>
      </c>
      <c r="N159" s="246">
        <v>0</v>
      </c>
      <c r="O159" s="246" t="s">
        <v>357</v>
      </c>
      <c r="P159" s="246">
        <v>115000</v>
      </c>
      <c r="U159" s="246" t="s">
        <v>475</v>
      </c>
      <c r="V159" s="246">
        <f t="shared" si="37"/>
        <v>105000</v>
      </c>
      <c r="W159" s="246">
        <v>103500</v>
      </c>
      <c r="Y159" s="261" t="s">
        <v>492</v>
      </c>
      <c r="Z159" s="246">
        <f>V159-W159</f>
        <v>1500</v>
      </c>
      <c r="AD159" s="246" t="s">
        <v>338</v>
      </c>
    </row>
    <row r="160" spans="1:32">
      <c r="A160" s="246" t="s">
        <v>35</v>
      </c>
      <c r="B160" s="251" t="s">
        <v>151</v>
      </c>
      <c r="E160" s="251">
        <v>10178</v>
      </c>
      <c r="F160" s="251" t="s">
        <v>493</v>
      </c>
      <c r="G160" s="251">
        <v>63000</v>
      </c>
      <c r="H160" s="251">
        <v>7786.8</v>
      </c>
      <c r="I160" s="251">
        <v>6300</v>
      </c>
      <c r="J160" s="251"/>
      <c r="K160" s="251"/>
      <c r="L160" s="251">
        <v>0</v>
      </c>
      <c r="M160" s="251">
        <v>0</v>
      </c>
      <c r="N160" s="251">
        <v>0</v>
      </c>
      <c r="O160" s="251" t="s">
        <v>32</v>
      </c>
      <c r="P160" s="251">
        <v>70786</v>
      </c>
      <c r="Q160" s="251"/>
      <c r="R160" s="251"/>
      <c r="S160" s="251"/>
      <c r="T160" s="251"/>
      <c r="U160" s="251" t="s">
        <v>153</v>
      </c>
      <c r="V160" s="251">
        <v>64486.8</v>
      </c>
      <c r="W160" s="251">
        <v>63708</v>
      </c>
      <c r="X160" s="251"/>
      <c r="Y160" s="251" t="s">
        <v>154</v>
      </c>
      <c r="Z160" s="251">
        <v>778.80000000000291</v>
      </c>
      <c r="AA160" s="251" t="s">
        <v>64</v>
      </c>
    </row>
    <row r="161" spans="1:30" ht="45" customHeight="1">
      <c r="A161" s="246" t="s">
        <v>35</v>
      </c>
      <c r="B161" s="246" t="s">
        <v>277</v>
      </c>
      <c r="E161" s="246">
        <v>10179</v>
      </c>
      <c r="F161" s="250" t="s">
        <v>494</v>
      </c>
      <c r="G161" s="246">
        <v>760000</v>
      </c>
      <c r="H161" s="246">
        <f>(G161*0.14)</f>
        <v>106400.00000000001</v>
      </c>
      <c r="I161" s="246">
        <f>G161*0.1</f>
        <v>76000</v>
      </c>
      <c r="L161" s="246">
        <f>G161*0.005</f>
        <v>3800</v>
      </c>
      <c r="M161" s="246">
        <f>G161*0.005</f>
        <v>3800</v>
      </c>
      <c r="N161" s="246">
        <v>0</v>
      </c>
      <c r="O161" s="246" t="s">
        <v>357</v>
      </c>
      <c r="P161" s="246">
        <v>874000</v>
      </c>
      <c r="U161" s="246" t="s">
        <v>495</v>
      </c>
      <c r="V161" s="246">
        <f>G161+H161-I161+L161+M161+N161</f>
        <v>798000</v>
      </c>
    </row>
    <row r="162" spans="1:30">
      <c r="A162" s="246" t="s">
        <v>35</v>
      </c>
      <c r="B162" s="246" t="s">
        <v>373</v>
      </c>
      <c r="E162" s="246">
        <v>10180</v>
      </c>
      <c r="F162" s="246" t="s">
        <v>496</v>
      </c>
      <c r="G162" s="251">
        <v>300000</v>
      </c>
      <c r="H162" s="246">
        <f>(G162*0.14)</f>
        <v>42000.000000000007</v>
      </c>
      <c r="I162" s="246">
        <f>G162*0.1</f>
        <v>30000</v>
      </c>
      <c r="L162" s="246">
        <f>G162*0.005</f>
        <v>1500</v>
      </c>
      <c r="M162" s="246">
        <f>G162*0.005</f>
        <v>1500</v>
      </c>
      <c r="N162" s="246">
        <v>0</v>
      </c>
      <c r="O162" s="246" t="s">
        <v>357</v>
      </c>
      <c r="U162" s="246" t="s">
        <v>476</v>
      </c>
      <c r="V162" s="246">
        <f>G162+H162-I162+L162+M162+N162</f>
        <v>315000</v>
      </c>
      <c r="W162" s="246">
        <v>315000</v>
      </c>
      <c r="Y162" s="246" t="s">
        <v>478</v>
      </c>
      <c r="Z162" s="246">
        <f>V162-W162</f>
        <v>0</v>
      </c>
    </row>
    <row r="163" spans="1:30">
      <c r="A163" s="246" t="s">
        <v>35</v>
      </c>
      <c r="B163" s="246" t="s">
        <v>462</v>
      </c>
      <c r="E163" s="246">
        <v>10181</v>
      </c>
      <c r="F163" s="246" t="s">
        <v>406</v>
      </c>
      <c r="G163" s="246">
        <v>238317</v>
      </c>
      <c r="H163" s="246">
        <f>(G163*0.14)</f>
        <v>33364.380000000005</v>
      </c>
      <c r="I163" s="246">
        <f>G163*0.1</f>
        <v>23831.7</v>
      </c>
      <c r="L163" s="246">
        <f>G163*0.005</f>
        <v>1191.585</v>
      </c>
      <c r="M163" s="246">
        <f>G163*0.005</f>
        <v>1191.585</v>
      </c>
      <c r="N163" s="246">
        <v>0</v>
      </c>
      <c r="O163" s="246" t="s">
        <v>357</v>
      </c>
      <c r="P163" s="246">
        <v>274063</v>
      </c>
      <c r="U163" s="246" t="s">
        <v>497</v>
      </c>
      <c r="V163" s="246">
        <f>G163+H163-I163+L163+M163+N163</f>
        <v>250232.84999999998</v>
      </c>
      <c r="W163" s="246">
        <v>250232.85</v>
      </c>
      <c r="Y163" s="246" t="s">
        <v>498</v>
      </c>
    </row>
    <row r="164" spans="1:30">
      <c r="A164" s="246" t="s">
        <v>35</v>
      </c>
      <c r="B164" s="246" t="s">
        <v>465</v>
      </c>
      <c r="C164" s="246" t="s">
        <v>45</v>
      </c>
      <c r="E164" s="246">
        <v>10184</v>
      </c>
      <c r="F164" s="246" t="s">
        <v>499</v>
      </c>
      <c r="G164" s="246">
        <v>350000</v>
      </c>
      <c r="H164" s="246">
        <f>G164*0.18</f>
        <v>63000</v>
      </c>
      <c r="I164" s="246">
        <f>G164*0.1</f>
        <v>35000</v>
      </c>
      <c r="N164" s="246">
        <v>0</v>
      </c>
      <c r="O164" s="246" t="s">
        <v>500</v>
      </c>
      <c r="P164" s="246">
        <v>413000</v>
      </c>
      <c r="U164" s="246" t="s">
        <v>501</v>
      </c>
      <c r="V164" s="246">
        <f>G164+H164-I164+L164+M164+N164</f>
        <v>378000</v>
      </c>
      <c r="W164" s="246">
        <v>378000</v>
      </c>
      <c r="Y164" s="246" t="s">
        <v>502</v>
      </c>
    </row>
    <row r="165" spans="1:30" ht="90" customHeight="1">
      <c r="A165" s="246" t="s">
        <v>35</v>
      </c>
      <c r="B165" s="250" t="s">
        <v>503</v>
      </c>
      <c r="E165" s="246">
        <v>10185</v>
      </c>
      <c r="F165" s="250" t="s">
        <v>504</v>
      </c>
      <c r="G165" s="246">
        <v>370000</v>
      </c>
      <c r="H165" s="246">
        <f>G165*0.14</f>
        <v>51800.000000000007</v>
      </c>
      <c r="I165" s="246">
        <f>G165*0.1</f>
        <v>37000</v>
      </c>
      <c r="L165" s="246">
        <f>G165*0.005</f>
        <v>1850</v>
      </c>
      <c r="M165" s="246">
        <f>G165*0.005</f>
        <v>1850</v>
      </c>
      <c r="N165" s="246">
        <v>0</v>
      </c>
      <c r="O165" s="246" t="s">
        <v>357</v>
      </c>
      <c r="P165" s="246">
        <v>425500</v>
      </c>
      <c r="U165" s="246" t="s">
        <v>505</v>
      </c>
      <c r="V165" s="246">
        <f>G165+H165-I165+L165+M165+N165</f>
        <v>388500</v>
      </c>
      <c r="W165" s="246">
        <v>388500</v>
      </c>
      <c r="Y165" s="246" t="s">
        <v>506</v>
      </c>
      <c r="Z165" s="246">
        <v>0</v>
      </c>
    </row>
    <row r="166" spans="1:30">
      <c r="A166" s="246" t="s">
        <v>35</v>
      </c>
      <c r="B166" s="246" t="s">
        <v>373</v>
      </c>
      <c r="E166" s="246">
        <v>10186</v>
      </c>
      <c r="F166" s="246" t="s">
        <v>68</v>
      </c>
      <c r="G166" s="246">
        <v>33742</v>
      </c>
      <c r="O166" s="246" t="s">
        <v>69</v>
      </c>
      <c r="P166" s="246">
        <v>33742</v>
      </c>
      <c r="U166" s="246" t="s">
        <v>507</v>
      </c>
      <c r="V166" s="246">
        <v>33742</v>
      </c>
      <c r="W166" s="246">
        <v>33743</v>
      </c>
      <c r="Y166" s="246" t="s">
        <v>508</v>
      </c>
    </row>
    <row r="167" spans="1:30">
      <c r="A167" s="246" t="s">
        <v>35</v>
      </c>
      <c r="B167" s="246" t="s">
        <v>509</v>
      </c>
      <c r="E167" s="246">
        <v>10187</v>
      </c>
      <c r="F167" s="246" t="s">
        <v>369</v>
      </c>
      <c r="G167" s="246">
        <v>115000</v>
      </c>
      <c r="H167" s="246">
        <f>G167*0.14</f>
        <v>16100.000000000002</v>
      </c>
      <c r="I167" s="246">
        <f>G167*0.1</f>
        <v>11500</v>
      </c>
      <c r="L167" s="246">
        <f>G167*0.005</f>
        <v>575</v>
      </c>
      <c r="M167" s="246">
        <f>G167*0.005</f>
        <v>575</v>
      </c>
      <c r="N167" s="246">
        <v>0</v>
      </c>
      <c r="O167" s="246" t="s">
        <v>357</v>
      </c>
      <c r="P167" s="246">
        <v>132250</v>
      </c>
      <c r="U167" s="246" t="s">
        <v>507</v>
      </c>
      <c r="V167" s="246">
        <f>G167+H167+L167+M167-I167</f>
        <v>120750</v>
      </c>
      <c r="W167" s="246">
        <v>120750</v>
      </c>
      <c r="X167" s="246" t="s">
        <v>371</v>
      </c>
      <c r="Y167" s="246" t="s">
        <v>510</v>
      </c>
      <c r="Z167" s="246">
        <f>V167-W167</f>
        <v>0</v>
      </c>
      <c r="AC167" s="246" t="s">
        <v>372</v>
      </c>
      <c r="AD167" s="246" t="s">
        <v>511</v>
      </c>
    </row>
    <row r="168" spans="1:30" ht="75" customHeight="1">
      <c r="A168" s="246" t="s">
        <v>35</v>
      </c>
      <c r="B168" s="250" t="s">
        <v>438</v>
      </c>
      <c r="E168" s="246">
        <v>10188</v>
      </c>
      <c r="F168" s="250" t="s">
        <v>512</v>
      </c>
      <c r="G168" s="246">
        <v>500000</v>
      </c>
      <c r="H168" s="246">
        <f>G168*0.14</f>
        <v>70000</v>
      </c>
      <c r="I168" s="246">
        <f>G168*0.1</f>
        <v>50000</v>
      </c>
      <c r="L168" s="246">
        <f>G168*0.005</f>
        <v>2500</v>
      </c>
      <c r="M168" s="246">
        <f>G168*0.005</f>
        <v>2500</v>
      </c>
      <c r="N168" s="246">
        <v>0</v>
      </c>
      <c r="O168" s="246" t="s">
        <v>357</v>
      </c>
      <c r="P168" s="246">
        <v>574000</v>
      </c>
      <c r="U168" s="246" t="s">
        <v>513</v>
      </c>
      <c r="V168" s="246">
        <f>G168+H168+L168+M168-I168</f>
        <v>525000</v>
      </c>
      <c r="W168" s="246">
        <v>525000</v>
      </c>
      <c r="Y168" s="246" t="s">
        <v>514</v>
      </c>
    </row>
    <row r="169" spans="1:30" ht="30" customHeight="1">
      <c r="A169" s="246" t="s">
        <v>35</v>
      </c>
      <c r="B169" s="246" t="s">
        <v>515</v>
      </c>
      <c r="E169" s="246">
        <v>10189</v>
      </c>
      <c r="F169" s="250" t="s">
        <v>516</v>
      </c>
      <c r="G169" s="246">
        <v>200000</v>
      </c>
      <c r="H169" s="246">
        <f>G169*0.14</f>
        <v>28000.000000000004</v>
      </c>
      <c r="I169" s="246">
        <f>G169*0.1</f>
        <v>20000</v>
      </c>
      <c r="L169" s="246">
        <f>G169*0.005</f>
        <v>1000</v>
      </c>
      <c r="M169" s="246">
        <f>G169*0.005</f>
        <v>1000</v>
      </c>
      <c r="N169" s="246">
        <v>0</v>
      </c>
      <c r="O169" s="246" t="s">
        <v>357</v>
      </c>
      <c r="P169" s="246">
        <v>230000</v>
      </c>
      <c r="U169" s="246" t="s">
        <v>513</v>
      </c>
      <c r="V169" s="246">
        <f>G169+H169-I169+L169</f>
        <v>209000</v>
      </c>
      <c r="W169" s="246">
        <v>210000</v>
      </c>
      <c r="Y169" s="246" t="s">
        <v>517</v>
      </c>
    </row>
    <row r="170" spans="1:30">
      <c r="A170" s="246" t="s">
        <v>35</v>
      </c>
      <c r="B170" s="246" t="s">
        <v>518</v>
      </c>
      <c r="E170" s="246">
        <v>10190</v>
      </c>
      <c r="F170" s="246" t="s">
        <v>519</v>
      </c>
      <c r="G170" s="246">
        <v>200000</v>
      </c>
      <c r="H170" s="246">
        <f>G170*0.14</f>
        <v>28000.000000000004</v>
      </c>
      <c r="I170" s="246">
        <f>G170*0.1</f>
        <v>20000</v>
      </c>
      <c r="L170" s="246">
        <f>G170*0.005</f>
        <v>1000</v>
      </c>
      <c r="M170" s="246">
        <f>G170*0.005</f>
        <v>1000</v>
      </c>
      <c r="N170" s="246">
        <v>0</v>
      </c>
      <c r="O170" s="246" t="s">
        <v>357</v>
      </c>
      <c r="P170" s="246">
        <v>230000</v>
      </c>
      <c r="U170" s="246" t="s">
        <v>513</v>
      </c>
      <c r="V170" s="246">
        <f>G170+H170-I170+L170</f>
        <v>209000</v>
      </c>
      <c r="W170" s="246">
        <v>210000</v>
      </c>
      <c r="Y170" s="246" t="s">
        <v>517</v>
      </c>
    </row>
    <row r="171" spans="1:30">
      <c r="A171" s="246" t="s">
        <v>35</v>
      </c>
      <c r="B171" s="246" t="s">
        <v>520</v>
      </c>
      <c r="E171" s="246">
        <v>10191</v>
      </c>
      <c r="F171" s="246" t="s">
        <v>521</v>
      </c>
      <c r="G171" s="246">
        <v>400000</v>
      </c>
      <c r="H171" s="246">
        <f>G171*0.14</f>
        <v>56000.000000000007</v>
      </c>
      <c r="I171" s="246">
        <f>G171*0.1</f>
        <v>40000</v>
      </c>
      <c r="L171" s="246">
        <f>G171*0.005</f>
        <v>2000</v>
      </c>
      <c r="M171" s="246">
        <f>G171*0.005</f>
        <v>2000</v>
      </c>
      <c r="N171" s="246">
        <v>0</v>
      </c>
      <c r="O171" s="246" t="s">
        <v>357</v>
      </c>
      <c r="P171" s="246">
        <v>460000</v>
      </c>
      <c r="U171" s="246" t="s">
        <v>513</v>
      </c>
      <c r="V171" s="246">
        <f>G171+H171-I171+L171</f>
        <v>418000</v>
      </c>
    </row>
    <row r="172" spans="1:30" ht="75" customHeight="1">
      <c r="A172" s="246" t="s">
        <v>35</v>
      </c>
      <c r="B172" s="250" t="s">
        <v>438</v>
      </c>
      <c r="E172" s="246">
        <v>10192</v>
      </c>
      <c r="F172" s="246" t="s">
        <v>68</v>
      </c>
      <c r="G172" s="246">
        <v>62126</v>
      </c>
      <c r="P172" s="246">
        <v>62126</v>
      </c>
      <c r="U172" s="246" t="s">
        <v>513</v>
      </c>
      <c r="V172" s="246">
        <f>G172+H172-I172+L172</f>
        <v>62126</v>
      </c>
      <c r="W172" s="246">
        <v>62126</v>
      </c>
      <c r="Y172" s="246" t="s">
        <v>522</v>
      </c>
      <c r="Z172" s="246">
        <v>0</v>
      </c>
    </row>
    <row r="173" spans="1:30">
      <c r="A173" s="246" t="s">
        <v>35</v>
      </c>
      <c r="B173" s="246" t="s">
        <v>373</v>
      </c>
      <c r="E173" s="246">
        <v>10193</v>
      </c>
      <c r="F173" s="246" t="s">
        <v>68</v>
      </c>
      <c r="G173" s="246">
        <v>37033</v>
      </c>
      <c r="H173" s="246">
        <v>0</v>
      </c>
      <c r="I173" s="246">
        <v>0</v>
      </c>
      <c r="K173" s="246">
        <v>0</v>
      </c>
      <c r="L173" s="246">
        <v>0</v>
      </c>
      <c r="M173" s="246">
        <v>0</v>
      </c>
      <c r="N173" s="246">
        <v>0</v>
      </c>
      <c r="O173" s="246" t="s">
        <v>68</v>
      </c>
      <c r="P173" s="246">
        <v>37033</v>
      </c>
      <c r="U173" s="246" t="s">
        <v>523</v>
      </c>
      <c r="V173" s="246">
        <v>37033</v>
      </c>
      <c r="W173" s="246">
        <v>37033</v>
      </c>
      <c r="Y173" s="246" t="s">
        <v>524</v>
      </c>
    </row>
    <row r="174" spans="1:30">
      <c r="A174" s="246" t="s">
        <v>35</v>
      </c>
      <c r="B174" s="246" t="s">
        <v>373</v>
      </c>
      <c r="E174" s="246">
        <v>10194</v>
      </c>
      <c r="F174" s="246" t="s">
        <v>68</v>
      </c>
      <c r="G174" s="246">
        <v>34172</v>
      </c>
      <c r="H174" s="246">
        <v>0</v>
      </c>
      <c r="I174" s="246">
        <v>0</v>
      </c>
      <c r="K174" s="246">
        <v>0</v>
      </c>
      <c r="L174" s="246">
        <v>0</v>
      </c>
      <c r="M174" s="246">
        <v>0</v>
      </c>
      <c r="N174" s="246">
        <v>0</v>
      </c>
      <c r="O174" s="246" t="s">
        <v>68</v>
      </c>
      <c r="P174" s="246">
        <v>34172</v>
      </c>
      <c r="U174" s="246" t="s">
        <v>524</v>
      </c>
      <c r="V174" s="246">
        <f>G174+H174-I174+N174</f>
        <v>34172</v>
      </c>
      <c r="W174" s="262">
        <v>30839</v>
      </c>
      <c r="Y174" s="246" t="s">
        <v>522</v>
      </c>
      <c r="Z174" s="263">
        <f>V174-W174</f>
        <v>3333</v>
      </c>
      <c r="AD174" s="246" t="s">
        <v>525</v>
      </c>
    </row>
    <row r="175" spans="1:30">
      <c r="A175" s="246" t="s">
        <v>35</v>
      </c>
      <c r="B175" s="246" t="s">
        <v>373</v>
      </c>
      <c r="E175" s="246">
        <v>10195</v>
      </c>
      <c r="F175" s="246" t="s">
        <v>526</v>
      </c>
      <c r="G175" s="246">
        <v>1000000</v>
      </c>
      <c r="H175" s="246">
        <f>G175*0.18</f>
        <v>180000</v>
      </c>
      <c r="I175" s="246">
        <f>G175*0.1</f>
        <v>100000</v>
      </c>
      <c r="O175" s="246" t="s">
        <v>500</v>
      </c>
      <c r="P175" s="246">
        <v>1180000</v>
      </c>
      <c r="U175" s="246" t="s">
        <v>524</v>
      </c>
      <c r="V175" s="246">
        <f>G175+H175-I175+N175</f>
        <v>1080000</v>
      </c>
      <c r="W175" s="246">
        <v>1080000</v>
      </c>
      <c r="Y175" s="246" t="s">
        <v>527</v>
      </c>
    </row>
    <row r="176" spans="1:30">
      <c r="A176" s="246" t="s">
        <v>35</v>
      </c>
      <c r="B176" s="246" t="s">
        <v>528</v>
      </c>
      <c r="E176" s="246">
        <v>10196</v>
      </c>
      <c r="F176" s="246" t="s">
        <v>274</v>
      </c>
      <c r="G176" s="246">
        <v>200000</v>
      </c>
      <c r="H176" s="246">
        <f>G176*0.18</f>
        <v>36000</v>
      </c>
      <c r="I176" s="246">
        <f>G176*0.1</f>
        <v>20000</v>
      </c>
      <c r="O176" s="246" t="s">
        <v>500</v>
      </c>
      <c r="P176" s="246">
        <v>236000</v>
      </c>
      <c r="U176" s="246" t="s">
        <v>529</v>
      </c>
      <c r="V176" s="246">
        <f>G176+H176-I176+N176</f>
        <v>216000</v>
      </c>
      <c r="W176" s="246">
        <v>216000</v>
      </c>
      <c r="Y176" s="246" t="s">
        <v>530</v>
      </c>
    </row>
    <row r="177" spans="1:26">
      <c r="A177" s="246" t="s">
        <v>35</v>
      </c>
      <c r="B177" s="246" t="s">
        <v>381</v>
      </c>
      <c r="E177" s="246">
        <v>10197</v>
      </c>
      <c r="F177" s="246" t="s">
        <v>68</v>
      </c>
      <c r="G177" s="246">
        <v>39119</v>
      </c>
      <c r="H177" s="246">
        <v>0</v>
      </c>
      <c r="I177" s="246">
        <v>0</v>
      </c>
      <c r="K177" s="246">
        <v>0</v>
      </c>
      <c r="L177" s="246">
        <v>0</v>
      </c>
      <c r="M177" s="246">
        <v>0</v>
      </c>
      <c r="N177" s="246">
        <v>0</v>
      </c>
      <c r="O177" s="246" t="s">
        <v>500</v>
      </c>
      <c r="P177" s="246">
        <v>39119</v>
      </c>
      <c r="U177" s="246" t="s">
        <v>524</v>
      </c>
      <c r="V177" s="246">
        <v>39119</v>
      </c>
      <c r="W177" s="246">
        <v>39119</v>
      </c>
      <c r="Y177" s="246" t="s">
        <v>510</v>
      </c>
    </row>
    <row r="178" spans="1:26">
      <c r="A178" s="246" t="s">
        <v>35</v>
      </c>
      <c r="B178" s="246" t="s">
        <v>440</v>
      </c>
      <c r="C178" s="246" t="s">
        <v>45</v>
      </c>
      <c r="E178" s="246">
        <v>10198</v>
      </c>
      <c r="F178" s="246" t="s">
        <v>531</v>
      </c>
      <c r="G178" s="246">
        <v>10000</v>
      </c>
      <c r="H178" s="246">
        <f>(G178*0.18)</f>
        <v>1800</v>
      </c>
      <c r="I178" s="246">
        <f>G178*0.1</f>
        <v>1000</v>
      </c>
      <c r="O178" s="246" t="s">
        <v>500</v>
      </c>
      <c r="P178" s="246">
        <v>11800</v>
      </c>
      <c r="U178" s="246" t="s">
        <v>532</v>
      </c>
      <c r="V178" s="246">
        <f>G178+H178-I178</f>
        <v>10800</v>
      </c>
      <c r="W178" s="246">
        <v>10800</v>
      </c>
      <c r="Y178" s="246" t="s">
        <v>533</v>
      </c>
    </row>
    <row r="179" spans="1:26">
      <c r="A179" s="246" t="s">
        <v>35</v>
      </c>
      <c r="B179" s="246" t="s">
        <v>465</v>
      </c>
      <c r="C179" s="246" t="s">
        <v>45</v>
      </c>
      <c r="E179" s="246">
        <v>10199</v>
      </c>
      <c r="F179" s="246" t="s">
        <v>31</v>
      </c>
      <c r="G179" s="246">
        <v>350000</v>
      </c>
      <c r="H179" s="246">
        <f>(G179*0.18)</f>
        <v>63000</v>
      </c>
      <c r="I179" s="246">
        <f>G179*0.1</f>
        <v>35000</v>
      </c>
      <c r="O179" s="246" t="s">
        <v>500</v>
      </c>
      <c r="P179" s="246">
        <v>413000</v>
      </c>
      <c r="U179" s="246" t="s">
        <v>501</v>
      </c>
      <c r="V179" s="246">
        <f>G179+H179-I179+L179+M179+N179</f>
        <v>378000</v>
      </c>
      <c r="W179" s="246">
        <v>378000</v>
      </c>
      <c r="Y179" s="246" t="s">
        <v>534</v>
      </c>
    </row>
    <row r="180" spans="1:26">
      <c r="A180" s="246" t="s">
        <v>35</v>
      </c>
      <c r="B180" s="246" t="s">
        <v>465</v>
      </c>
      <c r="C180" s="246" t="s">
        <v>45</v>
      </c>
      <c r="E180" s="246">
        <v>10200</v>
      </c>
      <c r="F180" s="246" t="s">
        <v>535</v>
      </c>
      <c r="G180" s="246">
        <v>525000</v>
      </c>
      <c r="H180" s="246">
        <f>(G180*0.18)</f>
        <v>94500</v>
      </c>
      <c r="I180" s="246">
        <f>G180*0.1</f>
        <v>52500</v>
      </c>
      <c r="O180" s="246" t="s">
        <v>500</v>
      </c>
      <c r="P180" s="246">
        <v>619500</v>
      </c>
      <c r="U180" s="246" t="s">
        <v>501</v>
      </c>
      <c r="V180" s="246">
        <f>G180+H180-I180+L180+M180+N180</f>
        <v>567000</v>
      </c>
      <c r="W180" s="246">
        <v>567000</v>
      </c>
      <c r="Y180" s="246" t="s">
        <v>536</v>
      </c>
    </row>
    <row r="181" spans="1:26">
      <c r="A181" s="246" t="s">
        <v>35</v>
      </c>
      <c r="B181" s="246" t="s">
        <v>465</v>
      </c>
      <c r="C181" s="246" t="s">
        <v>45</v>
      </c>
      <c r="E181" s="246">
        <v>10201</v>
      </c>
      <c r="F181" s="246" t="s">
        <v>537</v>
      </c>
      <c r="G181" s="246">
        <v>350000</v>
      </c>
      <c r="H181" s="246">
        <f>(G181*0.18)</f>
        <v>63000</v>
      </c>
      <c r="I181" s="246">
        <f>G181*0.1</f>
        <v>35000</v>
      </c>
      <c r="O181" s="246" t="s">
        <v>500</v>
      </c>
      <c r="P181" s="246">
        <v>413000</v>
      </c>
      <c r="U181" s="246" t="s">
        <v>501</v>
      </c>
      <c r="V181" s="246">
        <f>G181+H181-I181+L181+M181+N181</f>
        <v>378000</v>
      </c>
      <c r="W181" s="246">
        <v>378000</v>
      </c>
      <c r="Y181" s="246" t="s">
        <v>538</v>
      </c>
    </row>
    <row r="182" spans="1:26" ht="75" customHeight="1">
      <c r="A182" s="246" t="s">
        <v>35</v>
      </c>
      <c r="B182" s="250" t="s">
        <v>438</v>
      </c>
      <c r="E182" s="246">
        <v>10202</v>
      </c>
      <c r="F182" s="250" t="s">
        <v>539</v>
      </c>
      <c r="G182" s="246">
        <v>220000</v>
      </c>
      <c r="H182" s="246">
        <f>G182*0.18</f>
        <v>39600</v>
      </c>
      <c r="I182" s="246">
        <f>G182*0.1</f>
        <v>22000</v>
      </c>
      <c r="O182" s="246" t="s">
        <v>500</v>
      </c>
      <c r="P182" s="246">
        <v>318600</v>
      </c>
      <c r="U182" s="246" t="s">
        <v>540</v>
      </c>
      <c r="V182" s="246">
        <f>G182+H182-I182+L182</f>
        <v>237600</v>
      </c>
      <c r="W182" s="246">
        <v>237600</v>
      </c>
      <c r="Y182" s="246" t="s">
        <v>541</v>
      </c>
    </row>
    <row r="183" spans="1:26">
      <c r="B183" s="246" t="s">
        <v>183</v>
      </c>
      <c r="E183" s="246">
        <v>10203</v>
      </c>
      <c r="F183" s="246" t="s">
        <v>68</v>
      </c>
      <c r="G183" s="246">
        <v>63323</v>
      </c>
      <c r="O183" s="246" t="s">
        <v>68</v>
      </c>
      <c r="P183" s="246">
        <v>63323</v>
      </c>
      <c r="S183" s="246" t="s">
        <v>542</v>
      </c>
      <c r="U183" s="246" t="s">
        <v>543</v>
      </c>
      <c r="V183" s="246">
        <v>63323</v>
      </c>
      <c r="Y183" s="246" t="s">
        <v>544</v>
      </c>
    </row>
    <row r="184" spans="1:26">
      <c r="A184" s="246" t="s">
        <v>35</v>
      </c>
      <c r="B184" s="246" t="s">
        <v>545</v>
      </c>
      <c r="E184" s="246">
        <v>10204</v>
      </c>
      <c r="F184" s="246" t="s">
        <v>546</v>
      </c>
      <c r="G184" s="246">
        <v>46808</v>
      </c>
      <c r="H184" s="246">
        <f t="shared" ref="H184:H204" si="38">G184*0.18</f>
        <v>8425.44</v>
      </c>
      <c r="I184" s="246">
        <f t="shared" ref="I184:I212" si="39">G184*0.1</f>
        <v>4680.8</v>
      </c>
      <c r="O184" s="246" t="s">
        <v>500</v>
      </c>
      <c r="U184" s="246" t="s">
        <v>251</v>
      </c>
      <c r="V184" s="246">
        <f t="shared" ref="V184:V205" si="40">G184+H184-I184+N184</f>
        <v>50552.639999999999</v>
      </c>
    </row>
    <row r="185" spans="1:26">
      <c r="A185" s="246" t="s">
        <v>35</v>
      </c>
      <c r="B185" s="246" t="s">
        <v>545</v>
      </c>
      <c r="E185" s="246">
        <v>10205</v>
      </c>
      <c r="F185" s="246" t="s">
        <v>547</v>
      </c>
      <c r="G185" s="246">
        <v>470000</v>
      </c>
      <c r="H185" s="246">
        <f t="shared" si="38"/>
        <v>84600</v>
      </c>
      <c r="I185" s="246">
        <f t="shared" si="39"/>
        <v>47000</v>
      </c>
      <c r="O185" s="246" t="s">
        <v>500</v>
      </c>
      <c r="U185" s="246" t="s">
        <v>251</v>
      </c>
      <c r="V185" s="246">
        <f t="shared" si="40"/>
        <v>507600</v>
      </c>
    </row>
    <row r="186" spans="1:26">
      <c r="A186" s="246" t="s">
        <v>35</v>
      </c>
      <c r="B186" s="246" t="s">
        <v>373</v>
      </c>
      <c r="E186" s="246">
        <v>10206</v>
      </c>
      <c r="F186" s="246" t="s">
        <v>548</v>
      </c>
      <c r="G186" s="246">
        <v>200000</v>
      </c>
      <c r="H186" s="246">
        <f t="shared" si="38"/>
        <v>36000</v>
      </c>
      <c r="I186" s="246">
        <f t="shared" si="39"/>
        <v>20000</v>
      </c>
      <c r="O186" s="246" t="s">
        <v>500</v>
      </c>
      <c r="U186" s="246" t="s">
        <v>549</v>
      </c>
      <c r="V186" s="246">
        <f t="shared" si="40"/>
        <v>216000</v>
      </c>
      <c r="W186" s="246">
        <v>216000</v>
      </c>
      <c r="Y186" s="246" t="s">
        <v>550</v>
      </c>
      <c r="Z186" s="246">
        <f>V186-W186</f>
        <v>0</v>
      </c>
    </row>
    <row r="187" spans="1:26">
      <c r="A187" s="246" t="s">
        <v>35</v>
      </c>
      <c r="B187" s="246" t="s">
        <v>528</v>
      </c>
      <c r="C187" s="246" t="s">
        <v>45</v>
      </c>
      <c r="E187" s="246">
        <v>10207</v>
      </c>
      <c r="F187" s="246" t="s">
        <v>551</v>
      </c>
      <c r="G187" s="246">
        <v>200000</v>
      </c>
      <c r="H187" s="246">
        <f t="shared" si="38"/>
        <v>36000</v>
      </c>
      <c r="I187" s="246">
        <f t="shared" si="39"/>
        <v>20000</v>
      </c>
      <c r="O187" s="246" t="s">
        <v>500</v>
      </c>
      <c r="U187" s="246" t="s">
        <v>534</v>
      </c>
      <c r="V187" s="246">
        <f t="shared" si="40"/>
        <v>216000</v>
      </c>
      <c r="W187" s="246">
        <v>216000</v>
      </c>
      <c r="Y187" s="246" t="s">
        <v>552</v>
      </c>
    </row>
    <row r="188" spans="1:26" ht="30" customHeight="1">
      <c r="A188" s="246" t="s">
        <v>35</v>
      </c>
      <c r="B188" s="246" t="s">
        <v>553</v>
      </c>
      <c r="C188" s="246" t="s">
        <v>45</v>
      </c>
      <c r="E188" s="246">
        <v>10208</v>
      </c>
      <c r="F188" s="250" t="s">
        <v>554</v>
      </c>
      <c r="G188" s="246">
        <v>180000</v>
      </c>
      <c r="H188" s="246">
        <f t="shared" si="38"/>
        <v>32400</v>
      </c>
      <c r="I188" s="246">
        <f t="shared" si="39"/>
        <v>18000</v>
      </c>
      <c r="O188" s="246" t="s">
        <v>500</v>
      </c>
      <c r="P188" s="246">
        <v>212400</v>
      </c>
      <c r="U188" s="246" t="s">
        <v>555</v>
      </c>
      <c r="V188" s="246">
        <f t="shared" si="40"/>
        <v>194400</v>
      </c>
      <c r="W188" s="246">
        <v>194400</v>
      </c>
      <c r="Y188" s="246" t="s">
        <v>556</v>
      </c>
    </row>
    <row r="189" spans="1:26">
      <c r="A189" s="246" t="s">
        <v>35</v>
      </c>
      <c r="B189" s="246" t="s">
        <v>301</v>
      </c>
      <c r="C189" s="246" t="s">
        <v>45</v>
      </c>
      <c r="E189" s="246">
        <v>10209</v>
      </c>
      <c r="F189" s="252" t="s">
        <v>557</v>
      </c>
      <c r="G189" s="246">
        <v>206400</v>
      </c>
      <c r="H189" s="246">
        <f t="shared" si="38"/>
        <v>37152</v>
      </c>
      <c r="I189" s="246">
        <f t="shared" si="39"/>
        <v>20640</v>
      </c>
      <c r="O189" s="246" t="s">
        <v>500</v>
      </c>
      <c r="P189" s="246">
        <v>243552</v>
      </c>
      <c r="U189" s="246" t="s">
        <v>555</v>
      </c>
      <c r="V189" s="246">
        <f t="shared" si="40"/>
        <v>222912</v>
      </c>
      <c r="W189" s="246">
        <v>222912</v>
      </c>
      <c r="Y189" s="246" t="s">
        <v>558</v>
      </c>
    </row>
    <row r="190" spans="1:26">
      <c r="A190" s="246" t="s">
        <v>35</v>
      </c>
      <c r="B190" s="246" t="s">
        <v>373</v>
      </c>
      <c r="E190" s="246">
        <v>10210</v>
      </c>
      <c r="F190" s="246" t="s">
        <v>559</v>
      </c>
      <c r="G190" s="246">
        <v>250000</v>
      </c>
      <c r="H190" s="246">
        <f t="shared" si="38"/>
        <v>45000</v>
      </c>
      <c r="I190" s="246">
        <f t="shared" si="39"/>
        <v>25000</v>
      </c>
      <c r="O190" s="246" t="s">
        <v>500</v>
      </c>
      <c r="P190" s="246">
        <f>G190+H190</f>
        <v>295000</v>
      </c>
      <c r="U190" s="246" t="s">
        <v>555</v>
      </c>
      <c r="V190" s="246">
        <f t="shared" si="40"/>
        <v>270000</v>
      </c>
      <c r="W190" s="246">
        <v>270000</v>
      </c>
      <c r="Y190" s="246" t="s">
        <v>560</v>
      </c>
    </row>
    <row r="191" spans="1:26" ht="30" customHeight="1">
      <c r="A191" s="246" t="s">
        <v>35</v>
      </c>
      <c r="B191" s="246" t="s">
        <v>561</v>
      </c>
      <c r="E191" s="246">
        <v>10211</v>
      </c>
      <c r="F191" s="250" t="s">
        <v>562</v>
      </c>
      <c r="G191" s="246">
        <f>37500*2</f>
        <v>75000</v>
      </c>
      <c r="H191" s="246">
        <f t="shared" si="38"/>
        <v>13500</v>
      </c>
      <c r="I191" s="246">
        <f t="shared" si="39"/>
        <v>7500</v>
      </c>
      <c r="O191" s="246" t="s">
        <v>500</v>
      </c>
      <c r="P191" s="246">
        <v>88500</v>
      </c>
      <c r="U191" s="246" t="s">
        <v>563</v>
      </c>
      <c r="V191" s="246">
        <f t="shared" si="40"/>
        <v>81000</v>
      </c>
      <c r="W191" s="246">
        <v>81000</v>
      </c>
      <c r="Y191" s="246" t="s">
        <v>564</v>
      </c>
    </row>
    <row r="192" spans="1:26">
      <c r="A192" s="246" t="s">
        <v>35</v>
      </c>
      <c r="B192" s="246" t="s">
        <v>36</v>
      </c>
      <c r="E192" s="246">
        <v>10212</v>
      </c>
      <c r="F192" s="250" t="s">
        <v>547</v>
      </c>
      <c r="G192" s="250">
        <v>440000</v>
      </c>
      <c r="H192" s="246">
        <f t="shared" si="38"/>
        <v>79200</v>
      </c>
      <c r="I192" s="246">
        <f t="shared" si="39"/>
        <v>44000</v>
      </c>
      <c r="O192" s="246" t="s">
        <v>500</v>
      </c>
      <c r="P192" s="246">
        <v>519200</v>
      </c>
      <c r="U192" s="246" t="s">
        <v>565</v>
      </c>
      <c r="V192" s="246">
        <f t="shared" si="40"/>
        <v>475200</v>
      </c>
      <c r="W192" s="246">
        <v>475200</v>
      </c>
      <c r="Y192" s="246" t="s">
        <v>566</v>
      </c>
    </row>
    <row r="193" spans="1:32">
      <c r="A193" s="246" t="s">
        <v>35</v>
      </c>
      <c r="B193" s="246" t="s">
        <v>567</v>
      </c>
      <c r="E193" s="246">
        <v>10213</v>
      </c>
      <c r="F193" s="246" t="s">
        <v>389</v>
      </c>
      <c r="G193" s="246">
        <v>600000</v>
      </c>
      <c r="H193" s="246">
        <f t="shared" si="38"/>
        <v>108000</v>
      </c>
      <c r="I193" s="246">
        <f t="shared" si="39"/>
        <v>60000</v>
      </c>
      <c r="O193" s="246" t="s">
        <v>500</v>
      </c>
      <c r="P193" s="246">
        <v>708000</v>
      </c>
      <c r="U193" s="246" t="s">
        <v>565</v>
      </c>
      <c r="V193" s="246">
        <f t="shared" si="40"/>
        <v>648000</v>
      </c>
      <c r="W193" s="246">
        <f>400000+248000</f>
        <v>648000</v>
      </c>
      <c r="Y193" s="246" t="s">
        <v>568</v>
      </c>
    </row>
    <row r="194" spans="1:32">
      <c r="A194" s="246" t="s">
        <v>35</v>
      </c>
      <c r="B194" s="252" t="s">
        <v>287</v>
      </c>
      <c r="C194" s="252"/>
      <c r="D194" s="252"/>
      <c r="E194" s="252">
        <v>10214</v>
      </c>
      <c r="F194" s="252" t="s">
        <v>569</v>
      </c>
      <c r="G194" s="252">
        <v>156671</v>
      </c>
      <c r="H194" s="252">
        <f t="shared" si="38"/>
        <v>28200.78</v>
      </c>
      <c r="I194" s="252">
        <f t="shared" si="39"/>
        <v>15667.1</v>
      </c>
      <c r="J194" s="252"/>
      <c r="K194" s="252"/>
      <c r="L194" s="252"/>
      <c r="M194" s="252"/>
      <c r="N194" s="252"/>
      <c r="O194" s="252" t="s">
        <v>500</v>
      </c>
      <c r="P194" s="252">
        <f>G194+H194</f>
        <v>184871.78</v>
      </c>
      <c r="Q194" s="252"/>
      <c r="R194" s="252"/>
      <c r="S194" s="252"/>
      <c r="T194" s="252"/>
      <c r="U194" s="252" t="s">
        <v>514</v>
      </c>
      <c r="V194" s="252">
        <f t="shared" si="40"/>
        <v>169204.68</v>
      </c>
      <c r="W194" s="252">
        <v>169199</v>
      </c>
      <c r="X194" s="252"/>
      <c r="Y194" s="252" t="s">
        <v>570</v>
      </c>
      <c r="Z194" s="252"/>
      <c r="AC194" s="252"/>
      <c r="AD194" s="252"/>
      <c r="AE194" s="252"/>
      <c r="AF194" s="252"/>
    </row>
    <row r="195" spans="1:32">
      <c r="A195" s="246" t="s">
        <v>35</v>
      </c>
      <c r="B195" s="246" t="s">
        <v>528</v>
      </c>
      <c r="E195" s="246">
        <v>10215</v>
      </c>
      <c r="F195" s="246" t="s">
        <v>399</v>
      </c>
      <c r="G195" s="246">
        <v>300000</v>
      </c>
      <c r="H195" s="246">
        <f t="shared" si="38"/>
        <v>54000</v>
      </c>
      <c r="I195" s="246">
        <f t="shared" si="39"/>
        <v>30000</v>
      </c>
      <c r="O195" s="246" t="s">
        <v>500</v>
      </c>
      <c r="U195" s="246" t="s">
        <v>514</v>
      </c>
      <c r="V195" s="246">
        <f t="shared" si="40"/>
        <v>324000</v>
      </c>
      <c r="W195" s="246">
        <v>324000</v>
      </c>
    </row>
    <row r="196" spans="1:32">
      <c r="A196" s="246" t="s">
        <v>35</v>
      </c>
      <c r="B196" s="246" t="s">
        <v>528</v>
      </c>
      <c r="E196" s="246">
        <v>10215</v>
      </c>
      <c r="F196" s="246" t="s">
        <v>571</v>
      </c>
      <c r="G196" s="246">
        <v>200000</v>
      </c>
      <c r="H196" s="246">
        <f t="shared" si="38"/>
        <v>36000</v>
      </c>
      <c r="I196" s="246">
        <f t="shared" si="39"/>
        <v>20000</v>
      </c>
      <c r="O196" s="246" t="s">
        <v>500</v>
      </c>
      <c r="U196" s="246" t="s">
        <v>514</v>
      </c>
      <c r="V196" s="246">
        <f t="shared" si="40"/>
        <v>216000</v>
      </c>
      <c r="W196" s="246">
        <v>216000</v>
      </c>
      <c r="Y196" s="246" t="s">
        <v>572</v>
      </c>
    </row>
    <row r="197" spans="1:32" ht="30" customHeight="1">
      <c r="A197" s="246" t="s">
        <v>35</v>
      </c>
      <c r="B197" s="246" t="s">
        <v>561</v>
      </c>
      <c r="E197" s="246">
        <v>10216</v>
      </c>
      <c r="F197" s="250" t="s">
        <v>573</v>
      </c>
      <c r="G197" s="246">
        <f>37500*2</f>
        <v>75000</v>
      </c>
      <c r="H197" s="246">
        <f t="shared" si="38"/>
        <v>13500</v>
      </c>
      <c r="I197" s="246">
        <f t="shared" si="39"/>
        <v>7500</v>
      </c>
      <c r="O197" s="246" t="s">
        <v>500</v>
      </c>
      <c r="P197" s="246">
        <v>88500</v>
      </c>
      <c r="U197" s="246" t="s">
        <v>574</v>
      </c>
      <c r="V197" s="246">
        <f t="shared" si="40"/>
        <v>81000</v>
      </c>
      <c r="W197" s="246">
        <v>81000</v>
      </c>
      <c r="Y197" s="246" t="s">
        <v>575</v>
      </c>
    </row>
    <row r="198" spans="1:32" ht="45" customHeight="1">
      <c r="A198" s="246" t="s">
        <v>35</v>
      </c>
      <c r="B198" s="250" t="s">
        <v>576</v>
      </c>
      <c r="E198" s="246">
        <v>10217</v>
      </c>
      <c r="F198" s="250" t="s">
        <v>274</v>
      </c>
      <c r="G198" s="246">
        <v>250000</v>
      </c>
      <c r="H198" s="246">
        <f t="shared" si="38"/>
        <v>45000</v>
      </c>
      <c r="I198" s="246">
        <f t="shared" si="39"/>
        <v>25000</v>
      </c>
      <c r="O198" s="246" t="s">
        <v>500</v>
      </c>
      <c r="P198" s="246">
        <v>295000</v>
      </c>
      <c r="U198" s="246" t="s">
        <v>577</v>
      </c>
      <c r="V198" s="246">
        <f t="shared" si="40"/>
        <v>270000</v>
      </c>
      <c r="W198" s="246">
        <v>270000</v>
      </c>
      <c r="Y198" s="246" t="s">
        <v>578</v>
      </c>
    </row>
    <row r="199" spans="1:32">
      <c r="A199" s="256" t="s">
        <v>35</v>
      </c>
      <c r="B199" s="246" t="s">
        <v>301</v>
      </c>
      <c r="C199" s="246" t="s">
        <v>45</v>
      </c>
      <c r="E199" s="246">
        <v>10218</v>
      </c>
      <c r="F199" s="246" t="s">
        <v>579</v>
      </c>
      <c r="G199" s="257">
        <v>412800</v>
      </c>
      <c r="H199" s="246">
        <f t="shared" si="38"/>
        <v>74304</v>
      </c>
      <c r="I199" s="246">
        <f t="shared" si="39"/>
        <v>41280</v>
      </c>
      <c r="O199" s="246" t="s">
        <v>500</v>
      </c>
      <c r="P199" s="246">
        <f>G199+H199</f>
        <v>487104</v>
      </c>
      <c r="U199" s="246" t="s">
        <v>578</v>
      </c>
      <c r="V199" s="246">
        <f t="shared" si="40"/>
        <v>445824</v>
      </c>
      <c r="W199" s="246">
        <v>445824</v>
      </c>
      <c r="Y199" s="246" t="s">
        <v>556</v>
      </c>
    </row>
    <row r="200" spans="1:32">
      <c r="A200" s="246" t="s">
        <v>35</v>
      </c>
      <c r="B200" s="246" t="s">
        <v>381</v>
      </c>
      <c r="E200" s="246">
        <v>10219</v>
      </c>
      <c r="F200" s="246" t="s">
        <v>580</v>
      </c>
      <c r="G200" s="246">
        <f>0.2*2500000</f>
        <v>500000</v>
      </c>
      <c r="H200" s="246">
        <f t="shared" si="38"/>
        <v>90000</v>
      </c>
      <c r="I200" s="246">
        <f t="shared" si="39"/>
        <v>50000</v>
      </c>
      <c r="O200" s="246" t="s">
        <v>500</v>
      </c>
      <c r="P200" s="246">
        <f>G200+H200</f>
        <v>590000</v>
      </c>
      <c r="U200" s="246" t="s">
        <v>578</v>
      </c>
      <c r="V200" s="246">
        <f t="shared" si="40"/>
        <v>540000</v>
      </c>
      <c r="W200" s="246">
        <v>540000</v>
      </c>
      <c r="Y200" s="246" t="s">
        <v>581</v>
      </c>
    </row>
    <row r="201" spans="1:32">
      <c r="A201" s="246" t="s">
        <v>35</v>
      </c>
      <c r="B201" s="246" t="s">
        <v>381</v>
      </c>
      <c r="E201" s="246">
        <v>10219</v>
      </c>
      <c r="F201" s="246" t="s">
        <v>582</v>
      </c>
      <c r="G201" s="246">
        <f>0.15*2500000</f>
        <v>375000</v>
      </c>
      <c r="H201" s="246">
        <f t="shared" si="38"/>
        <v>67500</v>
      </c>
      <c r="I201" s="246">
        <f t="shared" si="39"/>
        <v>37500</v>
      </c>
      <c r="O201" s="246" t="s">
        <v>500</v>
      </c>
      <c r="P201" s="246">
        <f>G201+H201</f>
        <v>442500</v>
      </c>
      <c r="U201" s="246" t="s">
        <v>578</v>
      </c>
      <c r="V201" s="246">
        <f t="shared" si="40"/>
        <v>405000</v>
      </c>
      <c r="W201" s="246">
        <v>405000</v>
      </c>
      <c r="Y201" s="246" t="s">
        <v>581</v>
      </c>
    </row>
    <row r="202" spans="1:32" ht="30" customHeight="1">
      <c r="A202" s="246" t="s">
        <v>35</v>
      </c>
      <c r="B202" s="246" t="s">
        <v>515</v>
      </c>
      <c r="E202" s="246">
        <v>10220</v>
      </c>
      <c r="F202" s="250" t="s">
        <v>516</v>
      </c>
      <c r="G202" s="246">
        <v>200000</v>
      </c>
      <c r="H202" s="246">
        <f t="shared" si="38"/>
        <v>36000</v>
      </c>
      <c r="I202" s="246">
        <f t="shared" si="39"/>
        <v>20000</v>
      </c>
      <c r="O202" s="246" t="s">
        <v>500</v>
      </c>
      <c r="P202" s="246">
        <v>236000</v>
      </c>
      <c r="U202" s="246" t="s">
        <v>583</v>
      </c>
      <c r="V202" s="246">
        <f t="shared" si="40"/>
        <v>216000</v>
      </c>
    </row>
    <row r="203" spans="1:32">
      <c r="A203" s="246" t="s">
        <v>35</v>
      </c>
      <c r="B203" s="246" t="s">
        <v>427</v>
      </c>
      <c r="C203" s="246" t="s">
        <v>45</v>
      </c>
      <c r="E203" s="246">
        <v>10221</v>
      </c>
      <c r="F203" s="246" t="s">
        <v>584</v>
      </c>
      <c r="G203" s="246">
        <f>1250000*0.3</f>
        <v>375000</v>
      </c>
      <c r="H203" s="246">
        <f t="shared" si="38"/>
        <v>67500</v>
      </c>
      <c r="I203" s="246">
        <f t="shared" si="39"/>
        <v>37500</v>
      </c>
      <c r="O203" s="246" t="s">
        <v>500</v>
      </c>
      <c r="P203" s="246">
        <f>H203+G203</f>
        <v>442500</v>
      </c>
      <c r="U203" s="246" t="s">
        <v>585</v>
      </c>
      <c r="V203" s="246">
        <f t="shared" si="40"/>
        <v>405000</v>
      </c>
      <c r="W203" s="246">
        <v>405000</v>
      </c>
      <c r="Y203" s="246" t="s">
        <v>570</v>
      </c>
    </row>
    <row r="204" spans="1:32">
      <c r="A204" s="246" t="s">
        <v>35</v>
      </c>
      <c r="B204" s="246" t="s">
        <v>427</v>
      </c>
      <c r="C204" s="246" t="s">
        <v>45</v>
      </c>
      <c r="E204" s="246">
        <v>10221</v>
      </c>
      <c r="F204" s="246" t="s">
        <v>586</v>
      </c>
      <c r="G204" s="246">
        <f>1250000*0.25</f>
        <v>312500</v>
      </c>
      <c r="H204" s="246">
        <f t="shared" si="38"/>
        <v>56250</v>
      </c>
      <c r="I204" s="246">
        <f t="shared" si="39"/>
        <v>31250</v>
      </c>
      <c r="O204" s="246" t="s">
        <v>500</v>
      </c>
      <c r="P204" s="246">
        <f>H204+G204</f>
        <v>368750</v>
      </c>
      <c r="U204" s="246" t="s">
        <v>585</v>
      </c>
      <c r="V204" s="246">
        <f t="shared" si="40"/>
        <v>337500</v>
      </c>
      <c r="W204" s="246">
        <v>337500</v>
      </c>
      <c r="Y204" s="246" t="s">
        <v>570</v>
      </c>
    </row>
    <row r="205" spans="1:32">
      <c r="A205" s="246" t="s">
        <v>35</v>
      </c>
      <c r="B205" s="246" t="s">
        <v>350</v>
      </c>
      <c r="C205" s="246" t="s">
        <v>45</v>
      </c>
      <c r="E205" s="246">
        <v>10222</v>
      </c>
      <c r="F205" s="246" t="s">
        <v>587</v>
      </c>
      <c r="G205" s="246">
        <f>1700000*0.1</f>
        <v>170000</v>
      </c>
      <c r="H205" s="246">
        <f>(G205*0.18)</f>
        <v>30600</v>
      </c>
      <c r="I205" s="246">
        <f t="shared" si="39"/>
        <v>17000</v>
      </c>
      <c r="O205" s="246" t="s">
        <v>500</v>
      </c>
      <c r="P205" s="246">
        <v>200600</v>
      </c>
      <c r="U205" s="246" t="s">
        <v>585</v>
      </c>
      <c r="V205" s="246">
        <f t="shared" si="40"/>
        <v>183600</v>
      </c>
      <c r="W205" s="246">
        <v>183600</v>
      </c>
      <c r="Y205" s="246" t="s">
        <v>588</v>
      </c>
      <c r="AD205" s="246" t="s">
        <v>589</v>
      </c>
    </row>
    <row r="206" spans="1:32" ht="45" customHeight="1">
      <c r="A206" s="246" t="s">
        <v>35</v>
      </c>
      <c r="B206" s="250" t="s">
        <v>576</v>
      </c>
      <c r="E206" s="246">
        <v>10223</v>
      </c>
      <c r="F206" s="246" t="s">
        <v>590</v>
      </c>
      <c r="G206" s="246">
        <v>250000</v>
      </c>
      <c r="H206" s="246">
        <f t="shared" ref="H206:H212" si="41">G206*0.18</f>
        <v>45000</v>
      </c>
      <c r="I206" s="246">
        <f t="shared" si="39"/>
        <v>25000</v>
      </c>
      <c r="O206" s="246" t="s">
        <v>500</v>
      </c>
      <c r="P206" s="246">
        <f>G206+H206</f>
        <v>295000</v>
      </c>
      <c r="U206" s="246" t="s">
        <v>591</v>
      </c>
      <c r="V206" s="246">
        <f>G206+H206-I206</f>
        <v>270000</v>
      </c>
      <c r="W206" s="246">
        <v>270000</v>
      </c>
      <c r="Y206" s="246" t="s">
        <v>592</v>
      </c>
    </row>
    <row r="207" spans="1:32" ht="30" customHeight="1">
      <c r="A207" s="246" t="s">
        <v>35</v>
      </c>
      <c r="B207" s="250" t="s">
        <v>593</v>
      </c>
      <c r="E207" s="246">
        <v>10224</v>
      </c>
      <c r="F207" s="246" t="s">
        <v>594</v>
      </c>
      <c r="G207" s="246">
        <v>750000</v>
      </c>
      <c r="H207" s="246">
        <f t="shared" si="41"/>
        <v>135000</v>
      </c>
      <c r="I207" s="246">
        <f t="shared" si="39"/>
        <v>75000</v>
      </c>
      <c r="O207" s="246" t="s">
        <v>500</v>
      </c>
      <c r="P207" s="246">
        <f>G207+H207</f>
        <v>885000</v>
      </c>
      <c r="U207" s="246" t="s">
        <v>595</v>
      </c>
      <c r="V207" s="246">
        <f>G207+H207-I207</f>
        <v>810000</v>
      </c>
      <c r="W207" s="246">
        <v>810000</v>
      </c>
      <c r="Y207" s="246" t="s">
        <v>596</v>
      </c>
    </row>
    <row r="208" spans="1:32">
      <c r="A208" s="246" t="s">
        <v>35</v>
      </c>
      <c r="B208" s="246" t="s">
        <v>597</v>
      </c>
      <c r="E208" s="246">
        <v>10225</v>
      </c>
      <c r="F208" s="246" t="s">
        <v>598</v>
      </c>
      <c r="G208" s="246">
        <v>100000</v>
      </c>
      <c r="H208" s="246">
        <f t="shared" si="41"/>
        <v>18000</v>
      </c>
      <c r="I208" s="246">
        <f t="shared" si="39"/>
        <v>10000</v>
      </c>
      <c r="O208" s="246" t="s">
        <v>500</v>
      </c>
      <c r="P208" s="246">
        <f>354000/3</f>
        <v>118000</v>
      </c>
      <c r="U208" s="246" t="s">
        <v>599</v>
      </c>
      <c r="V208" s="246">
        <f>G208+H208-I208+N208</f>
        <v>108000</v>
      </c>
    </row>
    <row r="209" spans="1:32">
      <c r="A209" s="246" t="s">
        <v>35</v>
      </c>
      <c r="B209" s="246" t="s">
        <v>597</v>
      </c>
      <c r="E209" s="246">
        <v>10225</v>
      </c>
      <c r="F209" s="246" t="s">
        <v>600</v>
      </c>
      <c r="G209" s="246">
        <v>100000</v>
      </c>
      <c r="H209" s="246">
        <f t="shared" si="41"/>
        <v>18000</v>
      </c>
      <c r="I209" s="246">
        <f t="shared" si="39"/>
        <v>10000</v>
      </c>
      <c r="O209" s="246" t="s">
        <v>500</v>
      </c>
      <c r="P209" s="246">
        <f>354000/3</f>
        <v>118000</v>
      </c>
      <c r="U209" s="246" t="s">
        <v>599</v>
      </c>
      <c r="V209" s="246">
        <f>G209+H209-I209+N209</f>
        <v>108000</v>
      </c>
    </row>
    <row r="210" spans="1:32">
      <c r="A210" s="246" t="s">
        <v>35</v>
      </c>
      <c r="B210" s="246" t="s">
        <v>373</v>
      </c>
      <c r="E210" s="246">
        <v>10227</v>
      </c>
      <c r="F210" s="246" t="s">
        <v>601</v>
      </c>
      <c r="G210" s="246">
        <v>200000</v>
      </c>
      <c r="H210" s="246">
        <f t="shared" si="41"/>
        <v>36000</v>
      </c>
      <c r="I210" s="246">
        <f t="shared" si="39"/>
        <v>20000</v>
      </c>
      <c r="O210" s="246" t="s">
        <v>500</v>
      </c>
      <c r="P210" s="246">
        <f>G210+H210</f>
        <v>236000</v>
      </c>
      <c r="U210" s="246" t="s">
        <v>556</v>
      </c>
      <c r="V210" s="246">
        <f>G210+H210-I210+N210</f>
        <v>216000</v>
      </c>
      <c r="W210" s="246">
        <v>216000</v>
      </c>
      <c r="Y210" s="246" t="s">
        <v>602</v>
      </c>
    </row>
    <row r="211" spans="1:32" ht="30" customHeight="1">
      <c r="A211" s="246" t="s">
        <v>35</v>
      </c>
      <c r="B211" s="250" t="s">
        <v>593</v>
      </c>
      <c r="E211" s="246">
        <v>10228</v>
      </c>
      <c r="F211" s="246" t="s">
        <v>603</v>
      </c>
      <c r="G211" s="246">
        <v>750000</v>
      </c>
      <c r="H211" s="246">
        <f t="shared" si="41"/>
        <v>135000</v>
      </c>
      <c r="I211" s="246">
        <f t="shared" si="39"/>
        <v>75000</v>
      </c>
      <c r="O211" s="246" t="s">
        <v>500</v>
      </c>
      <c r="P211" s="246">
        <f>G211+H211</f>
        <v>885000</v>
      </c>
      <c r="U211" s="246" t="s">
        <v>604</v>
      </c>
      <c r="V211" s="246">
        <f>G211+H211-I211</f>
        <v>810000</v>
      </c>
      <c r="W211" s="246">
        <v>810000</v>
      </c>
      <c r="Y211" s="246" t="s">
        <v>605</v>
      </c>
    </row>
    <row r="212" spans="1:32" ht="75" customHeight="1">
      <c r="A212" s="246" t="s">
        <v>35</v>
      </c>
      <c r="B212" s="250" t="s">
        <v>438</v>
      </c>
      <c r="E212" s="246">
        <v>10229</v>
      </c>
      <c r="F212" s="250" t="s">
        <v>606</v>
      </c>
      <c r="G212" s="246">
        <v>110000</v>
      </c>
      <c r="H212" s="246">
        <f t="shared" si="41"/>
        <v>19800</v>
      </c>
      <c r="I212" s="246">
        <f t="shared" si="39"/>
        <v>11000</v>
      </c>
      <c r="O212" s="246" t="s">
        <v>500</v>
      </c>
      <c r="P212" s="246">
        <v>129800</v>
      </c>
      <c r="U212" s="246" t="s">
        <v>607</v>
      </c>
      <c r="V212" s="246">
        <f t="shared" ref="V212:V230" si="42">G212+H212-I212+N212</f>
        <v>118800</v>
      </c>
    </row>
    <row r="213" spans="1:32">
      <c r="A213" s="246" t="s">
        <v>35</v>
      </c>
      <c r="B213" s="246" t="s">
        <v>373</v>
      </c>
      <c r="E213" s="246">
        <v>10230</v>
      </c>
      <c r="F213" s="246" t="s">
        <v>608</v>
      </c>
      <c r="G213" s="246">
        <v>47353</v>
      </c>
      <c r="H213" s="246">
        <v>0</v>
      </c>
      <c r="I213" s="246">
        <v>0</v>
      </c>
      <c r="O213" s="246" t="s">
        <v>68</v>
      </c>
      <c r="P213" s="246">
        <v>47353</v>
      </c>
      <c r="U213" s="246" t="s">
        <v>609</v>
      </c>
      <c r="V213" s="246">
        <f t="shared" si="42"/>
        <v>47353</v>
      </c>
      <c r="W213" s="246">
        <v>47353</v>
      </c>
      <c r="Y213" s="246" t="s">
        <v>610</v>
      </c>
    </row>
    <row r="214" spans="1:32">
      <c r="A214" s="246" t="s">
        <v>35</v>
      </c>
      <c r="B214" s="246" t="s">
        <v>611</v>
      </c>
      <c r="E214" s="246">
        <v>10231</v>
      </c>
      <c r="F214" s="246" t="s">
        <v>612</v>
      </c>
      <c r="G214" s="246">
        <f>314663+125337</f>
        <v>440000</v>
      </c>
      <c r="H214" s="246">
        <f t="shared" ref="H214:H230" si="43">G214*0.18</f>
        <v>79200</v>
      </c>
      <c r="I214" s="246">
        <f>G214*0.1</f>
        <v>44000</v>
      </c>
      <c r="O214" s="246" t="s">
        <v>500</v>
      </c>
      <c r="P214" s="246">
        <f>G214+H214</f>
        <v>519200</v>
      </c>
      <c r="U214" s="246" t="s">
        <v>613</v>
      </c>
      <c r="V214" s="246">
        <f t="shared" si="42"/>
        <v>475200</v>
      </c>
    </row>
    <row r="215" spans="1:32">
      <c r="A215" s="246" t="s">
        <v>35</v>
      </c>
      <c r="B215" s="246" t="s">
        <v>611</v>
      </c>
      <c r="E215" s="246">
        <v>10231</v>
      </c>
      <c r="F215" s="246" t="s">
        <v>614</v>
      </c>
      <c r="G215" s="246">
        <f>78666+31334</f>
        <v>110000</v>
      </c>
      <c r="H215" s="246">
        <f t="shared" si="43"/>
        <v>19800</v>
      </c>
      <c r="I215" s="246">
        <f>G215*0.1</f>
        <v>11000</v>
      </c>
      <c r="O215" s="246" t="s">
        <v>500</v>
      </c>
      <c r="P215" s="246">
        <f>G215+H215</f>
        <v>129800</v>
      </c>
      <c r="U215" s="246" t="s">
        <v>613</v>
      </c>
      <c r="V215" s="246">
        <f t="shared" si="42"/>
        <v>118800</v>
      </c>
    </row>
    <row r="216" spans="1:32">
      <c r="A216" s="246" t="s">
        <v>35</v>
      </c>
      <c r="B216" s="246" t="s">
        <v>615</v>
      </c>
      <c r="E216" s="246">
        <v>10232</v>
      </c>
      <c r="F216" s="246" t="s">
        <v>616</v>
      </c>
      <c r="G216" s="246">
        <v>200000</v>
      </c>
      <c r="H216" s="246">
        <f t="shared" si="43"/>
        <v>36000</v>
      </c>
      <c r="I216" s="246">
        <f>G216*0.1</f>
        <v>20000</v>
      </c>
      <c r="O216" s="246" t="s">
        <v>500</v>
      </c>
      <c r="U216" s="246" t="s">
        <v>609</v>
      </c>
      <c r="V216" s="246">
        <f t="shared" si="42"/>
        <v>216000</v>
      </c>
    </row>
    <row r="217" spans="1:32">
      <c r="B217" s="246" t="s">
        <v>617</v>
      </c>
      <c r="E217" s="246">
        <v>10233</v>
      </c>
      <c r="F217" s="246" t="s">
        <v>618</v>
      </c>
      <c r="G217" s="246">
        <v>150000</v>
      </c>
      <c r="H217" s="246">
        <f t="shared" si="43"/>
        <v>27000</v>
      </c>
      <c r="I217" s="246">
        <f>G217*0.1</f>
        <v>15000</v>
      </c>
      <c r="O217" s="246" t="s">
        <v>500</v>
      </c>
      <c r="P217" s="246">
        <f>G217+H217</f>
        <v>177000</v>
      </c>
      <c r="S217" s="246" t="s">
        <v>542</v>
      </c>
      <c r="U217" s="246" t="s">
        <v>619</v>
      </c>
      <c r="V217" s="246">
        <f t="shared" si="42"/>
        <v>162000</v>
      </c>
      <c r="W217" s="246">
        <v>162000</v>
      </c>
      <c r="Y217" s="246" t="s">
        <v>620</v>
      </c>
    </row>
    <row r="218" spans="1:32">
      <c r="B218" s="246" t="s">
        <v>183</v>
      </c>
      <c r="E218" s="246">
        <v>10234</v>
      </c>
      <c r="F218" s="246" t="s">
        <v>621</v>
      </c>
      <c r="G218" s="246">
        <v>109283.07</v>
      </c>
      <c r="H218" s="246">
        <f t="shared" si="43"/>
        <v>19670.952600000001</v>
      </c>
      <c r="I218" s="246">
        <v>0</v>
      </c>
      <c r="O218" s="246" t="s">
        <v>500</v>
      </c>
      <c r="P218" s="246">
        <f>G218+H218</f>
        <v>128954.02260000001</v>
      </c>
      <c r="S218" s="246" t="s">
        <v>542</v>
      </c>
      <c r="U218" s="246" t="s">
        <v>622</v>
      </c>
      <c r="V218" s="246">
        <f t="shared" si="42"/>
        <v>128954.02260000001</v>
      </c>
      <c r="Y218" s="246" t="s">
        <v>544</v>
      </c>
    </row>
    <row r="219" spans="1:32">
      <c r="A219" s="246" t="s">
        <v>35</v>
      </c>
      <c r="B219" s="246" t="s">
        <v>597</v>
      </c>
      <c r="E219" s="246">
        <v>10235</v>
      </c>
      <c r="F219" s="246" t="s">
        <v>606</v>
      </c>
      <c r="G219" s="246">
        <v>100000</v>
      </c>
      <c r="H219" s="246">
        <f t="shared" si="43"/>
        <v>18000</v>
      </c>
      <c r="I219" s="246">
        <f>G219*0.1</f>
        <v>10000</v>
      </c>
      <c r="O219" s="246" t="s">
        <v>500</v>
      </c>
      <c r="P219" s="246">
        <f>354000/3</f>
        <v>118000</v>
      </c>
      <c r="U219" s="246" t="s">
        <v>602</v>
      </c>
      <c r="V219" s="246">
        <f t="shared" si="42"/>
        <v>108000</v>
      </c>
    </row>
    <row r="220" spans="1:32">
      <c r="B220" s="246" t="s">
        <v>183</v>
      </c>
      <c r="E220" s="246">
        <v>10236</v>
      </c>
      <c r="F220" s="246" t="s">
        <v>623</v>
      </c>
      <c r="G220" s="246">
        <v>2107225</v>
      </c>
      <c r="H220" s="246">
        <f t="shared" si="43"/>
        <v>379300.5</v>
      </c>
      <c r="I220" s="246">
        <f>G220*0.1</f>
        <v>210722.5</v>
      </c>
      <c r="O220" s="246" t="s">
        <v>500</v>
      </c>
      <c r="P220" s="246">
        <f>G220+H220</f>
        <v>2486525.5</v>
      </c>
      <c r="S220" s="246" t="s">
        <v>542</v>
      </c>
      <c r="U220" s="246" t="s">
        <v>624</v>
      </c>
      <c r="V220" s="246">
        <f t="shared" si="42"/>
        <v>2275803</v>
      </c>
      <c r="W220" s="246">
        <v>2729950</v>
      </c>
      <c r="Y220" s="246" t="s">
        <v>544</v>
      </c>
    </row>
    <row r="221" spans="1:32">
      <c r="B221" s="246" t="s">
        <v>183</v>
      </c>
      <c r="E221" s="246">
        <v>10238</v>
      </c>
      <c r="F221" s="246" t="s">
        <v>625</v>
      </c>
      <c r="G221" s="246">
        <v>91507</v>
      </c>
      <c r="H221" s="246">
        <f t="shared" si="43"/>
        <v>16471.259999999998</v>
      </c>
      <c r="I221" s="246">
        <v>0</v>
      </c>
      <c r="O221" s="246" t="s">
        <v>500</v>
      </c>
      <c r="P221" s="246">
        <f>G221+H221</f>
        <v>107978.26</v>
      </c>
      <c r="S221" s="246" t="s">
        <v>542</v>
      </c>
      <c r="U221" s="246" t="s">
        <v>626</v>
      </c>
      <c r="V221" s="246">
        <f t="shared" si="42"/>
        <v>107978.26</v>
      </c>
      <c r="Y221" s="246" t="s">
        <v>544</v>
      </c>
    </row>
    <row r="222" spans="1:32">
      <c r="B222" s="246" t="s">
        <v>617</v>
      </c>
      <c r="E222" s="246">
        <v>10240</v>
      </c>
      <c r="F222" s="246" t="s">
        <v>627</v>
      </c>
      <c r="G222" s="246">
        <v>100000</v>
      </c>
      <c r="H222" s="246">
        <f t="shared" si="43"/>
        <v>18000</v>
      </c>
      <c r="I222" s="246">
        <f t="shared" ref="I222:I231" si="44">G222*0.1</f>
        <v>10000</v>
      </c>
      <c r="O222" s="246" t="s">
        <v>500</v>
      </c>
      <c r="P222" s="246">
        <f>G222+H222</f>
        <v>118000</v>
      </c>
      <c r="S222" s="246" t="s">
        <v>628</v>
      </c>
      <c r="U222" s="246" t="s">
        <v>629</v>
      </c>
      <c r="V222" s="246">
        <f t="shared" si="42"/>
        <v>108000</v>
      </c>
      <c r="W222" s="246">
        <v>108000</v>
      </c>
      <c r="Y222" s="246" t="s">
        <v>630</v>
      </c>
    </row>
    <row r="223" spans="1:32">
      <c r="A223" s="246" t="s">
        <v>35</v>
      </c>
      <c r="B223" s="246" t="s">
        <v>631</v>
      </c>
      <c r="C223" s="246" t="s">
        <v>142</v>
      </c>
      <c r="E223" s="246">
        <v>10241</v>
      </c>
      <c r="F223" s="246" t="s">
        <v>632</v>
      </c>
      <c r="G223" s="246">
        <v>500000</v>
      </c>
      <c r="H223" s="246">
        <f t="shared" si="43"/>
        <v>90000</v>
      </c>
      <c r="I223" s="246">
        <f t="shared" si="44"/>
        <v>50000</v>
      </c>
      <c r="O223" s="246" t="s">
        <v>500</v>
      </c>
      <c r="P223" s="246">
        <f>G223+H223</f>
        <v>590000</v>
      </c>
      <c r="U223" s="246" t="s">
        <v>629</v>
      </c>
      <c r="V223" s="246">
        <f t="shared" si="42"/>
        <v>540000</v>
      </c>
      <c r="W223" s="246">
        <v>540000</v>
      </c>
      <c r="Y223" s="246" t="s">
        <v>633</v>
      </c>
      <c r="AF223" s="261">
        <v>43221</v>
      </c>
    </row>
    <row r="224" spans="1:32">
      <c r="A224" s="246" t="s">
        <v>35</v>
      </c>
      <c r="B224" s="246" t="s">
        <v>381</v>
      </c>
      <c r="E224" s="246">
        <v>10242</v>
      </c>
      <c r="F224" s="246" t="s">
        <v>634</v>
      </c>
      <c r="G224" s="246">
        <f>0.1*2500000</f>
        <v>250000</v>
      </c>
      <c r="H224" s="246">
        <f t="shared" si="43"/>
        <v>45000</v>
      </c>
      <c r="I224" s="246">
        <f t="shared" si="44"/>
        <v>25000</v>
      </c>
      <c r="O224" s="246" t="s">
        <v>500</v>
      </c>
      <c r="U224" s="264" t="s">
        <v>635</v>
      </c>
      <c r="V224" s="246">
        <f t="shared" si="42"/>
        <v>270000</v>
      </c>
      <c r="W224" s="246">
        <v>270000</v>
      </c>
      <c r="Y224" s="246" t="s">
        <v>636</v>
      </c>
    </row>
    <row r="225" spans="1:25">
      <c r="A225" s="246" t="s">
        <v>35</v>
      </c>
      <c r="B225" s="246" t="s">
        <v>381</v>
      </c>
      <c r="E225" s="246">
        <v>10242</v>
      </c>
      <c r="F225" s="246" t="s">
        <v>637</v>
      </c>
      <c r="G225" s="246">
        <f>(0.1*2500000)/2</f>
        <v>125000</v>
      </c>
      <c r="H225" s="246">
        <f t="shared" si="43"/>
        <v>22500</v>
      </c>
      <c r="I225" s="246">
        <f t="shared" si="44"/>
        <v>12500</v>
      </c>
      <c r="O225" s="246" t="s">
        <v>500</v>
      </c>
      <c r="U225" s="264" t="s">
        <v>635</v>
      </c>
      <c r="V225" s="246">
        <f t="shared" si="42"/>
        <v>135000</v>
      </c>
      <c r="W225" s="246">
        <v>135000</v>
      </c>
      <c r="Y225" s="246" t="s">
        <v>636</v>
      </c>
    </row>
    <row r="226" spans="1:25">
      <c r="B226" s="246" t="s">
        <v>183</v>
      </c>
      <c r="E226" s="246">
        <v>10246</v>
      </c>
      <c r="F226" s="246" t="s">
        <v>638</v>
      </c>
      <c r="G226" s="246">
        <v>1470000</v>
      </c>
      <c r="H226" s="246">
        <f t="shared" si="43"/>
        <v>264600</v>
      </c>
      <c r="I226" s="246">
        <f t="shared" si="44"/>
        <v>147000</v>
      </c>
      <c r="O226" s="246" t="s">
        <v>500</v>
      </c>
      <c r="P226" s="246">
        <f>G226+H226</f>
        <v>1734600</v>
      </c>
      <c r="S226" s="246" t="s">
        <v>628</v>
      </c>
      <c r="U226" s="264" t="s">
        <v>635</v>
      </c>
      <c r="V226" s="246">
        <f t="shared" si="42"/>
        <v>1587600</v>
      </c>
      <c r="W226" s="246">
        <f>V226</f>
        <v>1587600</v>
      </c>
      <c r="Y226" s="246" t="s">
        <v>639</v>
      </c>
    </row>
    <row r="227" spans="1:25">
      <c r="B227" s="246" t="s">
        <v>183</v>
      </c>
      <c r="E227" s="246">
        <v>10247</v>
      </c>
      <c r="F227" s="246" t="s">
        <v>640</v>
      </c>
      <c r="G227" s="246">
        <f>1470000+110250</f>
        <v>1580250</v>
      </c>
      <c r="H227" s="246">
        <f t="shared" si="43"/>
        <v>284445</v>
      </c>
      <c r="I227" s="246">
        <f t="shared" si="44"/>
        <v>158025</v>
      </c>
      <c r="O227" s="246" t="s">
        <v>500</v>
      </c>
      <c r="P227" s="246">
        <f>G227+H227</f>
        <v>1864695</v>
      </c>
      <c r="S227" s="246" t="s">
        <v>628</v>
      </c>
      <c r="U227" s="264" t="s">
        <v>635</v>
      </c>
      <c r="V227" s="246">
        <f t="shared" si="42"/>
        <v>1706670</v>
      </c>
      <c r="W227" s="246">
        <f>V227</f>
        <v>1706670</v>
      </c>
      <c r="Y227" s="246" t="s">
        <v>639</v>
      </c>
    </row>
    <row r="228" spans="1:25">
      <c r="A228" s="246" t="s">
        <v>35</v>
      </c>
      <c r="B228" s="246" t="s">
        <v>631</v>
      </c>
      <c r="C228" s="246" t="s">
        <v>142</v>
      </c>
      <c r="E228" s="246">
        <v>10253</v>
      </c>
      <c r="F228" s="246" t="s">
        <v>641</v>
      </c>
      <c r="G228" s="246">
        <v>350000</v>
      </c>
      <c r="H228" s="246">
        <f t="shared" si="43"/>
        <v>63000</v>
      </c>
      <c r="I228" s="246">
        <f t="shared" si="44"/>
        <v>35000</v>
      </c>
      <c r="O228" s="246" t="s">
        <v>500</v>
      </c>
      <c r="P228" s="246">
        <f>G228+H228</f>
        <v>413000</v>
      </c>
      <c r="U228" s="246" t="s">
        <v>642</v>
      </c>
      <c r="V228" s="246">
        <f t="shared" si="42"/>
        <v>378000</v>
      </c>
      <c r="Y228" s="246" t="s">
        <v>643</v>
      </c>
    </row>
    <row r="229" spans="1:25">
      <c r="A229" s="256" t="s">
        <v>35</v>
      </c>
      <c r="B229" s="246" t="s">
        <v>301</v>
      </c>
      <c r="C229" s="246" t="s">
        <v>45</v>
      </c>
      <c r="E229" s="246">
        <v>10254</v>
      </c>
      <c r="F229" s="246" t="s">
        <v>644</v>
      </c>
      <c r="G229" s="257">
        <v>516000</v>
      </c>
      <c r="H229" s="246">
        <f t="shared" si="43"/>
        <v>92880</v>
      </c>
      <c r="I229" s="246">
        <f t="shared" si="44"/>
        <v>51600</v>
      </c>
      <c r="O229" s="246" t="s">
        <v>500</v>
      </c>
      <c r="P229" s="246">
        <f>H229+G229</f>
        <v>608880</v>
      </c>
      <c r="U229" s="246" t="s">
        <v>645</v>
      </c>
      <c r="V229" s="246">
        <f t="shared" si="42"/>
        <v>557280</v>
      </c>
      <c r="W229" s="246">
        <v>557280</v>
      </c>
      <c r="Y229" s="246" t="s">
        <v>646</v>
      </c>
    </row>
    <row r="230" spans="1:25">
      <c r="A230" s="246" t="s">
        <v>35</v>
      </c>
      <c r="B230" s="246" t="s">
        <v>631</v>
      </c>
      <c r="C230" s="246" t="s">
        <v>142</v>
      </c>
      <c r="E230" s="246">
        <v>10255</v>
      </c>
      <c r="F230" s="246" t="s">
        <v>647</v>
      </c>
      <c r="G230" s="246">
        <v>50000</v>
      </c>
      <c r="H230" s="246">
        <f t="shared" si="43"/>
        <v>9000</v>
      </c>
      <c r="I230" s="246">
        <f t="shared" si="44"/>
        <v>5000</v>
      </c>
      <c r="O230" s="246" t="s">
        <v>500</v>
      </c>
      <c r="P230" s="246">
        <f>G230+H230</f>
        <v>59000</v>
      </c>
      <c r="U230" s="246" t="s">
        <v>648</v>
      </c>
      <c r="V230" s="246">
        <f t="shared" si="42"/>
        <v>54000</v>
      </c>
      <c r="Y230" s="246" t="s">
        <v>649</v>
      </c>
    </row>
    <row r="231" spans="1:25" ht="60" customHeight="1">
      <c r="A231" s="246" t="s">
        <v>35</v>
      </c>
      <c r="B231" s="246" t="s">
        <v>528</v>
      </c>
      <c r="E231" s="246">
        <v>10256</v>
      </c>
      <c r="F231" s="250" t="s">
        <v>650</v>
      </c>
      <c r="G231" s="246">
        <v>200000</v>
      </c>
      <c r="H231" s="246">
        <v>36000</v>
      </c>
      <c r="I231" s="246">
        <f t="shared" si="44"/>
        <v>20000</v>
      </c>
      <c r="O231" s="246" t="s">
        <v>500</v>
      </c>
      <c r="P231" s="246">
        <v>236000</v>
      </c>
      <c r="U231" s="246" t="s">
        <v>651</v>
      </c>
      <c r="V231" s="246">
        <f>P231-I231</f>
        <v>216000</v>
      </c>
      <c r="W231" s="246">
        <v>216000</v>
      </c>
      <c r="Y231" s="246" t="s">
        <v>652</v>
      </c>
    </row>
    <row r="232" spans="1:25">
      <c r="A232" s="246" t="s">
        <v>35</v>
      </c>
      <c r="B232" s="246" t="s">
        <v>373</v>
      </c>
      <c r="E232" s="246">
        <v>10257</v>
      </c>
      <c r="F232" s="246" t="s">
        <v>616</v>
      </c>
      <c r="G232" s="246">
        <v>200000</v>
      </c>
      <c r="H232" s="246">
        <v>36000</v>
      </c>
      <c r="I232" s="246">
        <v>20000</v>
      </c>
      <c r="O232" s="246" t="s">
        <v>500</v>
      </c>
      <c r="P232" s="246">
        <v>236000</v>
      </c>
      <c r="U232" s="246" t="s">
        <v>656</v>
      </c>
      <c r="V232" s="246">
        <v>216000</v>
      </c>
      <c r="W232" s="252">
        <v>216000</v>
      </c>
      <c r="Y232" s="246" t="s">
        <v>649</v>
      </c>
    </row>
    <row r="233" spans="1:25">
      <c r="A233" s="246" t="s">
        <v>35</v>
      </c>
      <c r="B233" s="246" t="s">
        <v>631</v>
      </c>
      <c r="C233" s="246" t="s">
        <v>142</v>
      </c>
      <c r="E233" s="246">
        <v>10258</v>
      </c>
      <c r="F233" s="246" t="s">
        <v>657</v>
      </c>
      <c r="G233" s="246">
        <v>25000</v>
      </c>
      <c r="H233" s="246">
        <f>G233*0.18</f>
        <v>4500</v>
      </c>
      <c r="I233" s="246">
        <f>G233*0.1</f>
        <v>2500</v>
      </c>
      <c r="O233" s="246" t="s">
        <v>500</v>
      </c>
      <c r="P233" s="246">
        <f>G233+H233</f>
        <v>29500</v>
      </c>
      <c r="U233" s="246" t="s">
        <v>649</v>
      </c>
      <c r="V233" s="246">
        <f>G233+H233-I233+N233</f>
        <v>27000</v>
      </c>
      <c r="Y233" s="246" t="s">
        <v>658</v>
      </c>
    </row>
    <row r="234" spans="1:25">
      <c r="A234" s="246" t="s">
        <v>35</v>
      </c>
      <c r="B234" s="246" t="s">
        <v>631</v>
      </c>
      <c r="C234" s="246" t="s">
        <v>142</v>
      </c>
      <c r="E234" s="246">
        <v>10258</v>
      </c>
      <c r="F234" s="246" t="s">
        <v>659</v>
      </c>
      <c r="G234" s="246">
        <v>25000</v>
      </c>
      <c r="H234" s="246">
        <f>G234*0.18</f>
        <v>4500</v>
      </c>
      <c r="I234" s="246">
        <f>G234*0.1</f>
        <v>2500</v>
      </c>
      <c r="O234" s="246" t="s">
        <v>500</v>
      </c>
      <c r="P234" s="246">
        <f>G234+H234</f>
        <v>29500</v>
      </c>
      <c r="U234" s="246" t="s">
        <v>649</v>
      </c>
      <c r="V234" s="246">
        <f>G234+H234-I234+N234</f>
        <v>27000</v>
      </c>
      <c r="Y234" s="246" t="s">
        <v>658</v>
      </c>
    </row>
    <row r="235" spans="1:25" ht="30" customHeight="1">
      <c r="A235" s="246" t="s">
        <v>35</v>
      </c>
      <c r="B235" s="250" t="s">
        <v>593</v>
      </c>
      <c r="E235" s="246">
        <v>10259</v>
      </c>
      <c r="F235" s="246" t="s">
        <v>571</v>
      </c>
      <c r="G235" s="246">
        <v>1000000</v>
      </c>
      <c r="H235" s="246">
        <f>G235*0.18</f>
        <v>180000</v>
      </c>
      <c r="I235" s="246">
        <f>G235*0.1</f>
        <v>100000</v>
      </c>
      <c r="O235" s="246" t="s">
        <v>500</v>
      </c>
      <c r="P235" s="246">
        <f>G235+H235</f>
        <v>1180000</v>
      </c>
      <c r="U235" s="246" t="s">
        <v>660</v>
      </c>
      <c r="V235" s="246">
        <f>G235+H235-I235</f>
        <v>1080000</v>
      </c>
      <c r="W235" s="246">
        <v>1080000</v>
      </c>
      <c r="Y235" s="246" t="s">
        <v>661</v>
      </c>
    </row>
    <row r="236" spans="1:25">
      <c r="A236" s="246" t="s">
        <v>35</v>
      </c>
      <c r="B236" s="246" t="s">
        <v>381</v>
      </c>
      <c r="E236" s="246">
        <v>10264</v>
      </c>
      <c r="F236" s="246" t="s">
        <v>69</v>
      </c>
      <c r="G236" s="246">
        <v>48199</v>
      </c>
      <c r="O236" s="246" t="s">
        <v>68</v>
      </c>
      <c r="P236" s="246">
        <v>48199</v>
      </c>
      <c r="U236" s="246" t="s">
        <v>662</v>
      </c>
      <c r="V236" s="246">
        <v>48199</v>
      </c>
      <c r="Y236" s="246" t="s">
        <v>663</v>
      </c>
    </row>
    <row r="237" spans="1:25">
      <c r="A237" s="246" t="s">
        <v>35</v>
      </c>
      <c r="B237" s="246" t="s">
        <v>381</v>
      </c>
      <c r="E237" s="246">
        <v>10265</v>
      </c>
      <c r="F237" s="246" t="s">
        <v>637</v>
      </c>
      <c r="G237" s="246">
        <v>125000</v>
      </c>
      <c r="H237" s="246">
        <v>22500</v>
      </c>
      <c r="I237" s="246">
        <v>12500</v>
      </c>
      <c r="O237" s="246" t="s">
        <v>500</v>
      </c>
      <c r="P237" s="246">
        <v>147500</v>
      </c>
      <c r="U237" s="246" t="s">
        <v>664</v>
      </c>
      <c r="V237" s="246">
        <v>135000</v>
      </c>
      <c r="W237" s="246">
        <v>135000</v>
      </c>
      <c r="Y237" s="246" t="s">
        <v>663</v>
      </c>
    </row>
    <row r="238" spans="1:25">
      <c r="B238" s="246" t="s">
        <v>617</v>
      </c>
      <c r="E238" s="246">
        <v>10266</v>
      </c>
      <c r="F238" s="246" t="s">
        <v>665</v>
      </c>
      <c r="G238" s="246">
        <v>150000</v>
      </c>
      <c r="H238" s="246">
        <f>G238*0.18</f>
        <v>27000</v>
      </c>
      <c r="I238" s="246">
        <f>G238*0.1</f>
        <v>15000</v>
      </c>
      <c r="O238" s="246" t="s">
        <v>500</v>
      </c>
      <c r="P238" s="246">
        <f>G238+H238</f>
        <v>177000</v>
      </c>
      <c r="S238" s="246" t="s">
        <v>628</v>
      </c>
      <c r="U238" s="246" t="s">
        <v>666</v>
      </c>
      <c r="V238" s="246">
        <f>G238+H238-I238+N238</f>
        <v>162000</v>
      </c>
      <c r="W238" s="246">
        <v>162000</v>
      </c>
      <c r="Y238" s="246" t="s">
        <v>667</v>
      </c>
    </row>
    <row r="239" spans="1:25">
      <c r="A239" s="246" t="s">
        <v>35</v>
      </c>
      <c r="B239" s="246" t="s">
        <v>373</v>
      </c>
      <c r="E239" s="246">
        <v>10267</v>
      </c>
      <c r="F239" s="246" t="s">
        <v>668</v>
      </c>
      <c r="G239" s="246">
        <v>100000</v>
      </c>
      <c r="H239" s="246">
        <f>G239*0.18</f>
        <v>18000</v>
      </c>
      <c r="I239" s="246">
        <f>G239*0.1</f>
        <v>10000</v>
      </c>
      <c r="O239" s="246" t="s">
        <v>500</v>
      </c>
      <c r="P239" s="246">
        <f>H239+G239</f>
        <v>118000</v>
      </c>
      <c r="U239" s="246" t="s">
        <v>669</v>
      </c>
      <c r="V239" s="246">
        <f>G239+H239-I239+N239</f>
        <v>108000</v>
      </c>
      <c r="W239" s="246">
        <v>108000</v>
      </c>
      <c r="Y239" s="246" t="s">
        <v>670</v>
      </c>
    </row>
    <row r="240" spans="1:25">
      <c r="A240" s="246" t="s">
        <v>35</v>
      </c>
      <c r="B240" s="246" t="s">
        <v>373</v>
      </c>
      <c r="E240" s="246">
        <v>10268</v>
      </c>
      <c r="F240" s="246" t="s">
        <v>608</v>
      </c>
      <c r="G240" s="246">
        <v>76408</v>
      </c>
      <c r="H240" s="246">
        <v>0</v>
      </c>
      <c r="I240" s="246">
        <v>0</v>
      </c>
      <c r="O240" s="246" t="s">
        <v>68</v>
      </c>
      <c r="P240" s="246">
        <v>76408</v>
      </c>
      <c r="U240" s="246" t="s">
        <v>671</v>
      </c>
    </row>
    <row r="241" spans="1:32">
      <c r="A241" s="246" t="s">
        <v>35</v>
      </c>
      <c r="B241" s="246" t="s">
        <v>672</v>
      </c>
      <c r="E241" s="265">
        <v>10269</v>
      </c>
      <c r="F241" s="246" t="s">
        <v>673</v>
      </c>
      <c r="G241" s="246">
        <f>3000000*0.05</f>
        <v>150000</v>
      </c>
      <c r="H241" s="246">
        <f>G241*0.18</f>
        <v>27000</v>
      </c>
      <c r="I241" s="246">
        <f>G241*0.1</f>
        <v>15000</v>
      </c>
      <c r="O241" s="246" t="s">
        <v>500</v>
      </c>
      <c r="P241" s="246">
        <f>G241+H241</f>
        <v>177000</v>
      </c>
      <c r="U241" s="246" t="s">
        <v>671</v>
      </c>
      <c r="V241" s="246">
        <f>G241+H241-I241+N241</f>
        <v>162000</v>
      </c>
      <c r="W241" s="246">
        <v>162000</v>
      </c>
      <c r="Y241" s="246" t="s">
        <v>674</v>
      </c>
    </row>
    <row r="242" spans="1:32">
      <c r="A242" s="246" t="s">
        <v>35</v>
      </c>
      <c r="B242" s="246" t="s">
        <v>672</v>
      </c>
      <c r="E242" s="265">
        <v>10269</v>
      </c>
      <c r="F242" s="246" t="s">
        <v>675</v>
      </c>
      <c r="G242" s="246">
        <f>3000000*0.05</f>
        <v>150000</v>
      </c>
      <c r="H242" s="246">
        <f>G242*0.18</f>
        <v>27000</v>
      </c>
      <c r="I242" s="246">
        <f>G242*0.1</f>
        <v>15000</v>
      </c>
      <c r="O242" s="246" t="s">
        <v>500</v>
      </c>
      <c r="P242" s="246">
        <f>G242+H242</f>
        <v>177000</v>
      </c>
      <c r="U242" s="246" t="s">
        <v>671</v>
      </c>
      <c r="V242" s="246">
        <f>G242+H242-I242+N242</f>
        <v>162000</v>
      </c>
      <c r="W242" s="246">
        <v>162000</v>
      </c>
      <c r="Y242" s="246" t="s">
        <v>674</v>
      </c>
    </row>
    <row r="243" spans="1:32">
      <c r="A243" s="246" t="s">
        <v>35</v>
      </c>
      <c r="B243" s="246" t="s">
        <v>672</v>
      </c>
      <c r="E243" s="265">
        <v>10269</v>
      </c>
      <c r="F243" s="246" t="s">
        <v>676</v>
      </c>
      <c r="G243" s="246">
        <f>3000000*0.05</f>
        <v>150000</v>
      </c>
      <c r="H243" s="246">
        <f>G243*0.18</f>
        <v>27000</v>
      </c>
      <c r="I243" s="246">
        <f>G243*0.1</f>
        <v>15000</v>
      </c>
      <c r="O243" s="246" t="s">
        <v>500</v>
      </c>
      <c r="P243" s="246">
        <f>G243+H243</f>
        <v>177000</v>
      </c>
      <c r="U243" s="246" t="s">
        <v>671</v>
      </c>
      <c r="V243" s="246">
        <f>G243+H243-I243+N243</f>
        <v>162000</v>
      </c>
      <c r="W243" s="246">
        <v>162000</v>
      </c>
      <c r="Y243" s="246" t="s">
        <v>674</v>
      </c>
    </row>
    <row r="244" spans="1:32">
      <c r="B244" s="262" t="s">
        <v>677</v>
      </c>
      <c r="C244" s="262"/>
      <c r="D244" s="262"/>
      <c r="E244" s="262">
        <v>10270</v>
      </c>
      <c r="F244" s="262" t="s">
        <v>678</v>
      </c>
      <c r="G244" s="257"/>
      <c r="H244" s="262">
        <f>G244*0.18</f>
        <v>0</v>
      </c>
      <c r="I244" s="262">
        <f>G244*0.1</f>
        <v>0</v>
      </c>
      <c r="J244" s="262"/>
      <c r="K244" s="262"/>
      <c r="L244" s="262"/>
      <c r="M244" s="262"/>
      <c r="N244" s="262"/>
      <c r="O244" s="262" t="s">
        <v>500</v>
      </c>
      <c r="P244" s="262">
        <f>G244+H244</f>
        <v>0</v>
      </c>
      <c r="Q244" s="262"/>
      <c r="R244" s="262"/>
      <c r="S244" s="246" t="s">
        <v>628</v>
      </c>
      <c r="U244" s="262" t="s">
        <v>661</v>
      </c>
      <c r="V244" s="262">
        <f>G244+H244-I244+N244</f>
        <v>0</v>
      </c>
      <c r="W244" s="262"/>
      <c r="X244" s="262"/>
      <c r="Y244" s="262"/>
      <c r="Z244" s="262"/>
      <c r="AC244" s="262"/>
      <c r="AD244" s="262"/>
      <c r="AE244" s="262"/>
      <c r="AF244" s="262"/>
    </row>
    <row r="245" spans="1:32">
      <c r="A245" s="246" t="s">
        <v>35</v>
      </c>
      <c r="B245" s="246" t="s">
        <v>381</v>
      </c>
      <c r="E245" s="246">
        <v>10271</v>
      </c>
      <c r="F245" s="246" t="s">
        <v>608</v>
      </c>
      <c r="G245" s="246">
        <v>14551</v>
      </c>
      <c r="O245" s="246" t="s">
        <v>68</v>
      </c>
      <c r="P245" s="246">
        <v>14551</v>
      </c>
      <c r="U245" s="264" t="s">
        <v>679</v>
      </c>
      <c r="V245" s="246">
        <v>14551</v>
      </c>
      <c r="W245" s="246">
        <v>14551</v>
      </c>
      <c r="Y245" s="246" t="s">
        <v>680</v>
      </c>
    </row>
    <row r="246" spans="1:32">
      <c r="B246" s="246" t="s">
        <v>183</v>
      </c>
      <c r="E246" s="246">
        <v>10273</v>
      </c>
      <c r="F246" s="246" t="s">
        <v>608</v>
      </c>
      <c r="G246" s="257">
        <v>62910</v>
      </c>
      <c r="H246" s="246">
        <f>G246*0.18</f>
        <v>11323.8</v>
      </c>
      <c r="I246" s="246">
        <f>G246*0.1</f>
        <v>6291</v>
      </c>
      <c r="O246" s="246" t="s">
        <v>500</v>
      </c>
      <c r="P246" s="246">
        <f>G246+H246</f>
        <v>74233.8</v>
      </c>
      <c r="S246" s="246" t="s">
        <v>628</v>
      </c>
      <c r="U246" s="246" t="s">
        <v>681</v>
      </c>
      <c r="V246" s="246">
        <f>G246+H246-I246+N246</f>
        <v>67942.8</v>
      </c>
      <c r="Y246" s="246" t="s">
        <v>682</v>
      </c>
    </row>
    <row r="247" spans="1:32">
      <c r="B247" s="246" t="s">
        <v>183</v>
      </c>
      <c r="E247" s="246">
        <v>10274</v>
      </c>
      <c r="F247" s="246" t="s">
        <v>683</v>
      </c>
      <c r="G247" s="257">
        <f>1470000+110250</f>
        <v>1580250</v>
      </c>
      <c r="H247" s="246">
        <f>G247*0.18</f>
        <v>284445</v>
      </c>
      <c r="I247" s="246">
        <f>G247*0.1</f>
        <v>158025</v>
      </c>
      <c r="O247" s="246" t="s">
        <v>500</v>
      </c>
      <c r="P247" s="246">
        <f>G247+H247</f>
        <v>1864695</v>
      </c>
      <c r="S247" s="246" t="s">
        <v>628</v>
      </c>
      <c r="U247" s="246" t="s">
        <v>681</v>
      </c>
      <c r="V247" s="246">
        <f>G247+H247-I247+N247</f>
        <v>1706670</v>
      </c>
      <c r="Y247" s="246" t="s">
        <v>684</v>
      </c>
    </row>
    <row r="248" spans="1:32">
      <c r="B248" s="246" t="s">
        <v>183</v>
      </c>
      <c r="E248" s="246">
        <v>10275</v>
      </c>
      <c r="F248" s="246" t="s">
        <v>608</v>
      </c>
      <c r="G248" s="257">
        <v>74780</v>
      </c>
      <c r="H248" s="246">
        <f>G248*0.18</f>
        <v>13460.4</v>
      </c>
      <c r="I248" s="246">
        <f>G248*0.1</f>
        <v>7478</v>
      </c>
      <c r="O248" s="246" t="s">
        <v>500</v>
      </c>
      <c r="P248" s="246">
        <f>G248+H248</f>
        <v>88240.4</v>
      </c>
      <c r="S248" s="246" t="s">
        <v>628</v>
      </c>
      <c r="U248" s="246" t="s">
        <v>685</v>
      </c>
      <c r="V248" s="246">
        <f>G248+H248-I248+N248</f>
        <v>80762.399999999994</v>
      </c>
      <c r="Y248" s="246" t="s">
        <v>682</v>
      </c>
    </row>
    <row r="249" spans="1:32">
      <c r="A249" s="246" t="s">
        <v>35</v>
      </c>
      <c r="B249" s="246" t="s">
        <v>381</v>
      </c>
      <c r="D249" s="246">
        <v>1028596</v>
      </c>
      <c r="E249" s="246">
        <v>10276</v>
      </c>
      <c r="F249" s="246" t="s">
        <v>686</v>
      </c>
      <c r="G249" s="246">
        <f>0.05*2500000</f>
        <v>125000</v>
      </c>
      <c r="H249" s="246">
        <f>G249*0.18</f>
        <v>22500</v>
      </c>
      <c r="I249" s="246">
        <f>G249*0.1</f>
        <v>12500</v>
      </c>
      <c r="O249" s="246" t="s">
        <v>500</v>
      </c>
      <c r="U249" s="246" t="s">
        <v>687</v>
      </c>
      <c r="V249" s="246">
        <f>G249+H249-I249+N249</f>
        <v>135000</v>
      </c>
    </row>
    <row r="250" spans="1:32">
      <c r="A250" s="246" t="s">
        <v>35</v>
      </c>
      <c r="B250" s="246" t="s">
        <v>553</v>
      </c>
      <c r="C250" s="246" t="s">
        <v>45</v>
      </c>
      <c r="D250" s="246">
        <v>1028595</v>
      </c>
      <c r="E250" s="246">
        <v>10277</v>
      </c>
      <c r="F250" s="250" t="s">
        <v>688</v>
      </c>
      <c r="G250" s="250">
        <v>475000</v>
      </c>
      <c r="H250" s="246">
        <f t="shared" ref="H250:H261" si="45">G250*0.18</f>
        <v>85500</v>
      </c>
      <c r="I250" s="246">
        <f t="shared" ref="I250:I259" si="46">G250*0.1</f>
        <v>47500</v>
      </c>
      <c r="O250" s="246" t="s">
        <v>500</v>
      </c>
      <c r="U250" s="246" t="s">
        <v>689</v>
      </c>
      <c r="V250" s="246">
        <f t="shared" ref="V250:V259" si="47">G250+H250-I250+N250</f>
        <v>513000</v>
      </c>
      <c r="W250" s="246">
        <f>V250</f>
        <v>513000</v>
      </c>
      <c r="Y250" s="256" t="s">
        <v>690</v>
      </c>
    </row>
    <row r="251" spans="1:32" ht="30" customHeight="1">
      <c r="A251" s="246" t="s">
        <v>35</v>
      </c>
      <c r="B251" s="246" t="s">
        <v>553</v>
      </c>
      <c r="C251" s="246" t="s">
        <v>45</v>
      </c>
      <c r="D251" s="246">
        <v>1028595</v>
      </c>
      <c r="E251" s="246">
        <v>10277</v>
      </c>
      <c r="F251" s="250" t="s">
        <v>691</v>
      </c>
      <c r="G251" s="250">
        <v>225000</v>
      </c>
      <c r="H251" s="246">
        <f t="shared" si="45"/>
        <v>40500</v>
      </c>
      <c r="I251" s="246">
        <f t="shared" si="46"/>
        <v>22500</v>
      </c>
      <c r="O251" s="246" t="s">
        <v>500</v>
      </c>
      <c r="U251" s="246" t="s">
        <v>689</v>
      </c>
      <c r="V251" s="246">
        <f t="shared" si="47"/>
        <v>243000</v>
      </c>
      <c r="W251" s="246">
        <f>V251</f>
        <v>243000</v>
      </c>
      <c r="Y251" s="256" t="s">
        <v>690</v>
      </c>
    </row>
    <row r="252" spans="1:32" ht="30" customHeight="1">
      <c r="B252" s="246" t="s">
        <v>692</v>
      </c>
      <c r="C252" s="246" t="s">
        <v>142</v>
      </c>
      <c r="E252" s="246">
        <v>10278</v>
      </c>
      <c r="F252" s="250" t="s">
        <v>693</v>
      </c>
      <c r="G252" s="257">
        <v>2031148</v>
      </c>
      <c r="H252" s="246">
        <f t="shared" si="45"/>
        <v>365606.64</v>
      </c>
      <c r="I252" s="246">
        <f t="shared" si="46"/>
        <v>203114.80000000002</v>
      </c>
      <c r="O252" s="246" t="s">
        <v>500</v>
      </c>
      <c r="P252" s="246">
        <f>G252+H252</f>
        <v>2396754.64</v>
      </c>
      <c r="S252" s="246" t="s">
        <v>628</v>
      </c>
      <c r="U252" s="246" t="s">
        <v>687</v>
      </c>
      <c r="V252" s="246">
        <f t="shared" si="47"/>
        <v>2193639.8400000003</v>
      </c>
      <c r="Y252" s="246" t="s">
        <v>684</v>
      </c>
    </row>
    <row r="253" spans="1:32" ht="30" customHeight="1">
      <c r="A253" s="246" t="s">
        <v>35</v>
      </c>
      <c r="B253" s="246" t="s">
        <v>553</v>
      </c>
      <c r="C253" s="246" t="s">
        <v>45</v>
      </c>
      <c r="D253" s="246">
        <v>1028595</v>
      </c>
      <c r="E253" s="255">
        <v>10277</v>
      </c>
      <c r="F253" s="250" t="s">
        <v>694</v>
      </c>
      <c r="G253" s="250">
        <v>500000</v>
      </c>
      <c r="H253" s="246">
        <f t="shared" si="45"/>
        <v>90000</v>
      </c>
      <c r="I253" s="246">
        <f t="shared" si="46"/>
        <v>50000</v>
      </c>
      <c r="O253" s="246" t="s">
        <v>500</v>
      </c>
      <c r="U253" s="246" t="s">
        <v>689</v>
      </c>
      <c r="V253" s="246">
        <f t="shared" si="47"/>
        <v>540000</v>
      </c>
      <c r="W253" s="246">
        <f>V253</f>
        <v>540000</v>
      </c>
      <c r="Y253" s="256" t="s">
        <v>690</v>
      </c>
    </row>
    <row r="254" spans="1:32">
      <c r="A254" s="246" t="s">
        <v>35</v>
      </c>
      <c r="B254" s="246" t="s">
        <v>553</v>
      </c>
      <c r="C254" s="246" t="s">
        <v>45</v>
      </c>
      <c r="D254" s="246">
        <v>1028595</v>
      </c>
      <c r="E254" s="255">
        <v>10277</v>
      </c>
      <c r="F254" s="250" t="s">
        <v>695</v>
      </c>
      <c r="G254" s="250">
        <v>250000</v>
      </c>
      <c r="H254" s="246">
        <f t="shared" si="45"/>
        <v>45000</v>
      </c>
      <c r="I254" s="246">
        <f t="shared" si="46"/>
        <v>25000</v>
      </c>
      <c r="O254" s="246" t="s">
        <v>500</v>
      </c>
      <c r="U254" s="246" t="s">
        <v>689</v>
      </c>
      <c r="V254" s="246">
        <f t="shared" si="47"/>
        <v>270000</v>
      </c>
      <c r="W254" s="246">
        <f>V254</f>
        <v>270000</v>
      </c>
      <c r="Y254" s="256" t="s">
        <v>690</v>
      </c>
    </row>
    <row r="255" spans="1:32">
      <c r="B255" s="246" t="s">
        <v>183</v>
      </c>
      <c r="E255" s="255">
        <v>10279</v>
      </c>
      <c r="F255" s="246" t="s">
        <v>608</v>
      </c>
      <c r="G255" s="257">
        <v>47868</v>
      </c>
      <c r="H255" s="246">
        <f t="shared" si="45"/>
        <v>8616.24</v>
      </c>
      <c r="I255" s="246">
        <f t="shared" si="46"/>
        <v>4786.8</v>
      </c>
      <c r="O255" s="246" t="s">
        <v>500</v>
      </c>
      <c r="P255" s="246">
        <f>G255+H255</f>
        <v>56484.24</v>
      </c>
      <c r="S255" s="246" t="s">
        <v>628</v>
      </c>
      <c r="U255" s="246" t="s">
        <v>696</v>
      </c>
      <c r="V255" s="246">
        <f t="shared" si="47"/>
        <v>51697.439999999995</v>
      </c>
      <c r="Y255" s="246" t="s">
        <v>682</v>
      </c>
    </row>
    <row r="256" spans="1:32">
      <c r="B256" s="246" t="s">
        <v>617</v>
      </c>
      <c r="D256" s="246" t="s">
        <v>697</v>
      </c>
      <c r="E256" s="246">
        <v>10280</v>
      </c>
      <c r="F256" s="246" t="s">
        <v>698</v>
      </c>
      <c r="G256" s="257">
        <v>300000</v>
      </c>
      <c r="H256" s="246">
        <f t="shared" si="45"/>
        <v>54000</v>
      </c>
      <c r="I256" s="246">
        <f t="shared" si="46"/>
        <v>30000</v>
      </c>
      <c r="O256" s="246" t="s">
        <v>500</v>
      </c>
      <c r="P256" s="246">
        <f>G256+H256</f>
        <v>354000</v>
      </c>
      <c r="S256" s="246" t="s">
        <v>628</v>
      </c>
      <c r="U256" s="246" t="s">
        <v>699</v>
      </c>
      <c r="V256" s="246">
        <f t="shared" si="47"/>
        <v>324000</v>
      </c>
      <c r="W256" s="246">
        <v>324000</v>
      </c>
      <c r="Y256" s="246" t="s">
        <v>700</v>
      </c>
    </row>
    <row r="257" spans="1:25">
      <c r="B257" s="246" t="s">
        <v>617</v>
      </c>
      <c r="E257" s="252">
        <v>10294</v>
      </c>
      <c r="F257" s="246" t="s">
        <v>571</v>
      </c>
      <c r="G257" s="257">
        <v>150000</v>
      </c>
      <c r="H257" s="246">
        <f t="shared" si="45"/>
        <v>27000</v>
      </c>
      <c r="I257" s="246">
        <f t="shared" si="46"/>
        <v>15000</v>
      </c>
      <c r="O257" s="246" t="s">
        <v>500</v>
      </c>
      <c r="P257" s="246">
        <f>G257+H257</f>
        <v>177000</v>
      </c>
      <c r="S257" s="246" t="s">
        <v>701</v>
      </c>
      <c r="U257" s="246" t="s">
        <v>702</v>
      </c>
      <c r="V257" s="246">
        <f t="shared" si="47"/>
        <v>162000</v>
      </c>
      <c r="W257" s="246">
        <f>V257</f>
        <v>162000</v>
      </c>
      <c r="Y257" s="246" t="s">
        <v>703</v>
      </c>
    </row>
    <row r="258" spans="1:25">
      <c r="B258" s="246" t="s">
        <v>183</v>
      </c>
      <c r="E258" s="246">
        <v>10297</v>
      </c>
      <c r="F258" s="250" t="s">
        <v>608</v>
      </c>
      <c r="G258" s="257">
        <v>62057</v>
      </c>
      <c r="H258" s="258">
        <f t="shared" si="45"/>
        <v>11170.26</v>
      </c>
      <c r="I258" s="258">
        <f t="shared" si="46"/>
        <v>6205.7000000000007</v>
      </c>
      <c r="O258" s="246" t="s">
        <v>500</v>
      </c>
      <c r="P258" s="258">
        <f>G258+H258</f>
        <v>73227.259999999995</v>
      </c>
      <c r="Q258" s="258"/>
      <c r="R258" s="258"/>
      <c r="S258" s="246" t="s">
        <v>701</v>
      </c>
      <c r="U258" s="246" t="s">
        <v>704</v>
      </c>
      <c r="V258" s="258">
        <f t="shared" si="47"/>
        <v>67021.56</v>
      </c>
    </row>
    <row r="259" spans="1:25">
      <c r="B259" s="246" t="s">
        <v>183</v>
      </c>
      <c r="C259" s="246" t="s">
        <v>45</v>
      </c>
      <c r="E259" s="246">
        <v>10299</v>
      </c>
      <c r="F259" s="250" t="s">
        <v>705</v>
      </c>
      <c r="G259" s="257">
        <v>53222</v>
      </c>
      <c r="H259" s="246">
        <f t="shared" si="45"/>
        <v>9579.9599999999991</v>
      </c>
      <c r="I259" s="246">
        <f t="shared" si="46"/>
        <v>5322.2000000000007</v>
      </c>
      <c r="O259" s="246" t="s">
        <v>500</v>
      </c>
      <c r="P259" s="246">
        <v>62802</v>
      </c>
      <c r="S259" s="246" t="s">
        <v>701</v>
      </c>
      <c r="U259" s="246" t="s">
        <v>706</v>
      </c>
      <c r="V259" s="246">
        <f t="shared" si="47"/>
        <v>57479.759999999995</v>
      </c>
    </row>
    <row r="260" spans="1:25">
      <c r="B260" s="246" t="s">
        <v>183</v>
      </c>
      <c r="E260" s="246">
        <v>10305</v>
      </c>
      <c r="F260" s="246" t="s">
        <v>707</v>
      </c>
      <c r="G260" s="257">
        <v>2335000</v>
      </c>
      <c r="H260" s="246">
        <f t="shared" si="45"/>
        <v>420300</v>
      </c>
      <c r="I260" s="246">
        <f>G260*0.075</f>
        <v>175125</v>
      </c>
      <c r="J260" s="246">
        <v>112500</v>
      </c>
      <c r="K260" s="246" t="s">
        <v>500</v>
      </c>
      <c r="L260" s="246">
        <v>2147010</v>
      </c>
      <c r="M260" s="246" t="s">
        <v>708</v>
      </c>
      <c r="O260" s="246" t="s">
        <v>500</v>
      </c>
      <c r="S260" s="246" t="s">
        <v>709</v>
      </c>
    </row>
    <row r="261" spans="1:25">
      <c r="B261" s="246" t="s">
        <v>710</v>
      </c>
      <c r="E261" s="246">
        <v>10311</v>
      </c>
      <c r="F261" s="266" t="s">
        <v>711</v>
      </c>
      <c r="G261" s="257">
        <v>420000</v>
      </c>
      <c r="H261" s="246">
        <f t="shared" si="45"/>
        <v>75600</v>
      </c>
      <c r="I261" s="246">
        <f>G261*0.075</f>
        <v>31500</v>
      </c>
      <c r="O261" s="246" t="s">
        <v>500</v>
      </c>
      <c r="P261" s="246">
        <f>G261+H261</f>
        <v>495600</v>
      </c>
      <c r="S261" s="246" t="s">
        <v>709</v>
      </c>
      <c r="U261" s="256" t="s">
        <v>712</v>
      </c>
      <c r="V261" s="246">
        <f>G261+H261-I261+N261</f>
        <v>464100</v>
      </c>
      <c r="W261" s="246">
        <v>464100</v>
      </c>
      <c r="Y261" s="246" t="s">
        <v>713</v>
      </c>
    </row>
    <row r="262" spans="1:25">
      <c r="A262" s="246" t="s">
        <v>35</v>
      </c>
      <c r="B262" s="246" t="s">
        <v>528</v>
      </c>
      <c r="D262" s="246" t="s">
        <v>714</v>
      </c>
      <c r="E262" s="246">
        <v>10284</v>
      </c>
      <c r="F262" s="246" t="s">
        <v>606</v>
      </c>
      <c r="G262" s="246">
        <v>100000</v>
      </c>
      <c r="H262" s="246">
        <v>18000</v>
      </c>
      <c r="I262" s="246">
        <v>10000</v>
      </c>
      <c r="O262" s="246" t="s">
        <v>500</v>
      </c>
      <c r="P262" s="246">
        <v>118000</v>
      </c>
      <c r="U262" s="246" t="s">
        <v>715</v>
      </c>
      <c r="V262" s="246">
        <v>108000</v>
      </c>
      <c r="W262" s="246">
        <v>108000</v>
      </c>
      <c r="Y262" s="246" t="s">
        <v>716</v>
      </c>
    </row>
    <row r="263" spans="1:25">
      <c r="A263" s="246" t="s">
        <v>35</v>
      </c>
      <c r="B263" s="246" t="s">
        <v>465</v>
      </c>
      <c r="C263" s="246" t="s">
        <v>45</v>
      </c>
      <c r="E263" s="246">
        <v>10287</v>
      </c>
      <c r="F263" s="246" t="s">
        <v>717</v>
      </c>
      <c r="G263" s="246">
        <v>350000</v>
      </c>
      <c r="H263" s="246">
        <f>(G263*0.18)</f>
        <v>63000</v>
      </c>
      <c r="I263" s="246">
        <f>G263*0.1</f>
        <v>35000</v>
      </c>
      <c r="O263" s="246" t="s">
        <v>500</v>
      </c>
      <c r="P263" s="246">
        <f t="shared" ref="P263:P266" si="48">G263+H263</f>
        <v>413000</v>
      </c>
      <c r="U263" s="246" t="s">
        <v>718</v>
      </c>
      <c r="V263" s="246">
        <f t="shared" ref="V263:V266" si="49">G263+H263-I263+N263</f>
        <v>378000</v>
      </c>
      <c r="W263" s="246">
        <v>378000</v>
      </c>
      <c r="Y263" s="246" t="s">
        <v>719</v>
      </c>
    </row>
    <row r="264" spans="1:25">
      <c r="A264" s="246" t="s">
        <v>35</v>
      </c>
      <c r="B264" s="246" t="s">
        <v>553</v>
      </c>
      <c r="C264" s="246" t="s">
        <v>45</v>
      </c>
      <c r="E264" s="246">
        <v>10288</v>
      </c>
      <c r="F264" s="267" t="s">
        <v>720</v>
      </c>
      <c r="G264" s="250">
        <v>375000</v>
      </c>
      <c r="H264" s="246">
        <f>G264*0.18</f>
        <v>67500</v>
      </c>
      <c r="I264" s="246">
        <f>G264*0.1</f>
        <v>37500</v>
      </c>
      <c r="O264" s="246" t="s">
        <v>500</v>
      </c>
      <c r="P264" s="246">
        <f t="shared" si="48"/>
        <v>442500</v>
      </c>
      <c r="U264" s="246" t="s">
        <v>716</v>
      </c>
      <c r="V264" s="246">
        <f t="shared" si="49"/>
        <v>405000</v>
      </c>
      <c r="W264" s="246">
        <f>V264</f>
        <v>405000</v>
      </c>
      <c r="Y264" s="256" t="s">
        <v>721</v>
      </c>
    </row>
    <row r="265" spans="1:25" ht="30" customHeight="1">
      <c r="A265" s="246" t="s">
        <v>35</v>
      </c>
      <c r="B265" s="246" t="s">
        <v>553</v>
      </c>
      <c r="C265" s="246" t="s">
        <v>45</v>
      </c>
      <c r="E265" s="246">
        <v>10288</v>
      </c>
      <c r="F265" s="250" t="s">
        <v>722</v>
      </c>
      <c r="G265" s="250">
        <v>125000</v>
      </c>
      <c r="H265" s="246">
        <f>G265*0.18</f>
        <v>22500</v>
      </c>
      <c r="I265" s="246">
        <f>G265*0.1</f>
        <v>12500</v>
      </c>
      <c r="O265" s="246" t="s">
        <v>500</v>
      </c>
      <c r="P265" s="246">
        <f t="shared" si="48"/>
        <v>147500</v>
      </c>
      <c r="U265" s="246" t="s">
        <v>716</v>
      </c>
      <c r="V265" s="246">
        <f t="shared" si="49"/>
        <v>135000</v>
      </c>
      <c r="W265" s="246">
        <f>V265</f>
        <v>135000</v>
      </c>
      <c r="Y265" s="256" t="s">
        <v>721</v>
      </c>
    </row>
    <row r="266" spans="1:25">
      <c r="B266" s="246" t="s">
        <v>617</v>
      </c>
      <c r="E266" s="246">
        <v>10312</v>
      </c>
      <c r="F266" s="246" t="s">
        <v>724</v>
      </c>
      <c r="G266" s="257">
        <v>150000</v>
      </c>
      <c r="H266" s="246">
        <f>G266*0.18</f>
        <v>27000</v>
      </c>
      <c r="I266" s="246">
        <f>G266*0.1</f>
        <v>15000</v>
      </c>
      <c r="O266" s="246" t="s">
        <v>500</v>
      </c>
      <c r="P266" s="246">
        <f t="shared" si="48"/>
        <v>177000</v>
      </c>
      <c r="S266" s="246" t="s">
        <v>709</v>
      </c>
      <c r="U266" s="246" t="s">
        <v>725</v>
      </c>
      <c r="V266" s="246">
        <f t="shared" si="49"/>
        <v>162000</v>
      </c>
    </row>
    <row r="267" spans="1:25">
      <c r="B267" s="246" t="s">
        <v>183</v>
      </c>
      <c r="E267" s="246">
        <v>10314</v>
      </c>
      <c r="F267" s="246" t="s">
        <v>726</v>
      </c>
      <c r="G267" s="257">
        <v>1500000</v>
      </c>
      <c r="H267" s="246">
        <f>G267*0.18</f>
        <v>270000</v>
      </c>
      <c r="I267" s="246">
        <f>G267*0.075</f>
        <v>112500</v>
      </c>
      <c r="O267" s="246" t="s">
        <v>500</v>
      </c>
      <c r="P267" s="246">
        <v>2147010</v>
      </c>
      <c r="S267" s="246" t="s">
        <v>709</v>
      </c>
      <c r="U267" s="246" t="s">
        <v>727</v>
      </c>
    </row>
    <row r="268" spans="1:25">
      <c r="B268" s="246" t="s">
        <v>728</v>
      </c>
      <c r="E268" s="246">
        <v>10315</v>
      </c>
      <c r="F268" s="246" t="s">
        <v>729</v>
      </c>
      <c r="G268" s="257">
        <v>908000</v>
      </c>
      <c r="H268" s="246">
        <f>G268*0.18</f>
        <v>163440</v>
      </c>
      <c r="I268" s="246">
        <f>G268*0.075</f>
        <v>68100</v>
      </c>
      <c r="J268" s="246">
        <v>112500</v>
      </c>
      <c r="K268" s="246" t="s">
        <v>500</v>
      </c>
      <c r="L268" s="246">
        <v>2147010</v>
      </c>
      <c r="M268" s="246" t="s">
        <v>708</v>
      </c>
      <c r="O268" s="246" t="s">
        <v>500</v>
      </c>
      <c r="P268" s="246">
        <f t="shared" ref="P268:P272" si="50">G268+H268</f>
        <v>1071440</v>
      </c>
      <c r="S268" s="246" t="s">
        <v>709</v>
      </c>
      <c r="U268" s="246" t="s">
        <v>727</v>
      </c>
    </row>
    <row r="269" spans="1:25">
      <c r="B269" s="246" t="s">
        <v>710</v>
      </c>
      <c r="E269" s="246">
        <v>10317</v>
      </c>
      <c r="F269" s="266" t="s">
        <v>730</v>
      </c>
      <c r="G269" s="257">
        <f>560000/2</f>
        <v>280000</v>
      </c>
      <c r="H269" s="246">
        <f>G269*0.18</f>
        <v>50400</v>
      </c>
      <c r="I269" s="246">
        <f>G269*0.1</f>
        <v>28000</v>
      </c>
      <c r="O269" s="246" t="s">
        <v>500</v>
      </c>
      <c r="P269" s="246">
        <f t="shared" si="50"/>
        <v>330400</v>
      </c>
      <c r="S269" s="268" t="s">
        <v>731</v>
      </c>
      <c r="T269" s="268"/>
      <c r="U269" s="246" t="s">
        <v>732</v>
      </c>
      <c r="V269" s="246">
        <f>G269+H269-I269+N269</f>
        <v>302400</v>
      </c>
      <c r="W269" s="246">
        <f>V269</f>
        <v>302400</v>
      </c>
      <c r="Y269" s="246" t="s">
        <v>733</v>
      </c>
    </row>
    <row r="270" spans="1:25">
      <c r="A270" s="246" t="s">
        <v>35</v>
      </c>
      <c r="B270" s="246" t="s">
        <v>465</v>
      </c>
      <c r="C270" s="246" t="s">
        <v>45</v>
      </c>
      <c r="E270" s="252">
        <v>10295</v>
      </c>
      <c r="F270" s="246" t="s">
        <v>734</v>
      </c>
      <c r="G270" s="246">
        <v>875000</v>
      </c>
      <c r="H270" s="246">
        <f>(G270*0.18)</f>
        <v>157500</v>
      </c>
      <c r="I270" s="246">
        <f>G270*0.1</f>
        <v>87500</v>
      </c>
      <c r="O270" s="246" t="s">
        <v>500</v>
      </c>
      <c r="P270" s="246">
        <f t="shared" si="50"/>
        <v>1032500</v>
      </c>
      <c r="U270" s="246" t="s">
        <v>702</v>
      </c>
      <c r="V270" s="246">
        <f>G270+H270-I270+N270</f>
        <v>945000</v>
      </c>
      <c r="W270" s="246">
        <f>V270</f>
        <v>945000</v>
      </c>
      <c r="Y270" s="246" t="s">
        <v>735</v>
      </c>
    </row>
    <row r="271" spans="1:25">
      <c r="B271" s="256" t="s">
        <v>736</v>
      </c>
      <c r="E271" s="246">
        <v>10318</v>
      </c>
      <c r="F271" s="269" t="s">
        <v>618</v>
      </c>
      <c r="G271" s="257">
        <v>160000</v>
      </c>
      <c r="H271" s="246">
        <f t="shared" ref="H271:H276" si="51">G271*0.18</f>
        <v>28800</v>
      </c>
      <c r="I271" s="246">
        <f>G271*0.075</f>
        <v>12000</v>
      </c>
      <c r="O271" s="246" t="s">
        <v>500</v>
      </c>
      <c r="P271" s="246">
        <f t="shared" si="50"/>
        <v>188800</v>
      </c>
      <c r="S271" s="268" t="s">
        <v>731</v>
      </c>
      <c r="T271" s="268"/>
      <c r="U271" s="246" t="s">
        <v>737</v>
      </c>
      <c r="V271" s="246">
        <f t="shared" ref="V271:V284" si="52">G271+H271-I271+N271</f>
        <v>176800</v>
      </c>
    </row>
    <row r="272" spans="1:25" ht="15.75" customHeight="1">
      <c r="B272" s="256" t="s">
        <v>738</v>
      </c>
      <c r="C272" s="256" t="s">
        <v>739</v>
      </c>
      <c r="E272" s="246">
        <v>10320</v>
      </c>
      <c r="F272" s="270" t="s">
        <v>618</v>
      </c>
      <c r="G272" s="257">
        <v>280000</v>
      </c>
      <c r="H272" s="246">
        <f t="shared" si="51"/>
        <v>50400</v>
      </c>
      <c r="I272" s="246">
        <f>G272*0.075</f>
        <v>21000</v>
      </c>
      <c r="O272" s="246" t="s">
        <v>500</v>
      </c>
      <c r="P272" s="246">
        <f t="shared" si="50"/>
        <v>330400</v>
      </c>
      <c r="S272" s="268" t="s">
        <v>731</v>
      </c>
      <c r="T272" s="268"/>
      <c r="U272" s="246" t="s">
        <v>740</v>
      </c>
      <c r="V272" s="246">
        <f t="shared" si="52"/>
        <v>309400</v>
      </c>
      <c r="W272" s="246">
        <v>302400</v>
      </c>
      <c r="Y272" s="246" t="s">
        <v>741</v>
      </c>
    </row>
    <row r="273" spans="1:25" ht="30" customHeight="1">
      <c r="A273" s="246" t="s">
        <v>35</v>
      </c>
      <c r="B273" s="246" t="s">
        <v>553</v>
      </c>
      <c r="C273" s="246" t="s">
        <v>45</v>
      </c>
      <c r="E273" s="246">
        <v>10303</v>
      </c>
      <c r="F273" s="250" t="s">
        <v>742</v>
      </c>
      <c r="G273" s="250">
        <v>250000</v>
      </c>
      <c r="H273" s="246">
        <f t="shared" si="51"/>
        <v>45000</v>
      </c>
      <c r="I273" s="246">
        <f>G273*0.1</f>
        <v>25000</v>
      </c>
      <c r="O273" s="246" t="s">
        <v>500</v>
      </c>
      <c r="U273" s="256" t="s">
        <v>743</v>
      </c>
      <c r="V273" s="246">
        <f t="shared" si="52"/>
        <v>270000</v>
      </c>
      <c r="W273" s="246">
        <f>V273</f>
        <v>270000</v>
      </c>
      <c r="Y273" s="256" t="s">
        <v>744</v>
      </c>
    </row>
    <row r="274" spans="1:25" ht="30" customHeight="1">
      <c r="A274" s="246" t="s">
        <v>35</v>
      </c>
      <c r="B274" s="256" t="s">
        <v>553</v>
      </c>
      <c r="E274" s="246">
        <v>10303</v>
      </c>
      <c r="F274" s="250" t="s">
        <v>742</v>
      </c>
      <c r="G274" s="250">
        <v>187500</v>
      </c>
      <c r="H274" s="246">
        <f t="shared" si="51"/>
        <v>33750</v>
      </c>
      <c r="I274" s="246">
        <f>G274*0.1</f>
        <v>18750</v>
      </c>
      <c r="O274" s="246" t="s">
        <v>500</v>
      </c>
      <c r="U274" s="256" t="s">
        <v>743</v>
      </c>
      <c r="V274" s="246">
        <f t="shared" si="52"/>
        <v>202500</v>
      </c>
      <c r="W274" s="246">
        <f>V274</f>
        <v>202500</v>
      </c>
      <c r="Y274" s="256" t="s">
        <v>744</v>
      </c>
    </row>
    <row r="275" spans="1:25">
      <c r="A275" s="246" t="s">
        <v>35</v>
      </c>
      <c r="B275" s="246" t="s">
        <v>553</v>
      </c>
      <c r="C275" s="261">
        <v>43831</v>
      </c>
      <c r="E275" s="246">
        <v>10304</v>
      </c>
      <c r="F275" s="250" t="s">
        <v>274</v>
      </c>
      <c r="G275" s="250">
        <v>210000</v>
      </c>
      <c r="H275" s="246">
        <f t="shared" si="51"/>
        <v>37800</v>
      </c>
      <c r="I275" s="246">
        <f>G275*0.1</f>
        <v>21000</v>
      </c>
      <c r="O275" s="246" t="s">
        <v>500</v>
      </c>
      <c r="P275" s="246">
        <f t="shared" ref="P275:P279" si="53">G275+H275</f>
        <v>247800</v>
      </c>
      <c r="U275" s="256" t="s">
        <v>745</v>
      </c>
      <c r="V275" s="246">
        <f t="shared" si="52"/>
        <v>226800</v>
      </c>
      <c r="W275" s="246">
        <v>453600</v>
      </c>
      <c r="Y275" s="256" t="s">
        <v>746</v>
      </c>
    </row>
    <row r="276" spans="1:25">
      <c r="A276" s="246" t="s">
        <v>35</v>
      </c>
      <c r="B276" s="246" t="s">
        <v>553</v>
      </c>
      <c r="C276" s="261">
        <v>43831</v>
      </c>
      <c r="E276" s="246">
        <v>10304</v>
      </c>
      <c r="F276" s="271" t="s">
        <v>747</v>
      </c>
      <c r="G276" s="250">
        <v>210000</v>
      </c>
      <c r="H276" s="246">
        <f t="shared" si="51"/>
        <v>37800</v>
      </c>
      <c r="I276" s="246">
        <f>G276*0.1</f>
        <v>21000</v>
      </c>
      <c r="O276" s="246" t="s">
        <v>500</v>
      </c>
      <c r="P276" s="246">
        <f t="shared" si="53"/>
        <v>247800</v>
      </c>
      <c r="U276" s="256" t="s">
        <v>745</v>
      </c>
      <c r="V276" s="246">
        <f t="shared" si="52"/>
        <v>226800</v>
      </c>
      <c r="W276" s="246" t="s">
        <v>748</v>
      </c>
      <c r="Y276" s="256" t="s">
        <v>746</v>
      </c>
    </row>
    <row r="277" spans="1:25">
      <c r="A277" s="246" t="s">
        <v>35</v>
      </c>
      <c r="B277" s="246" t="s">
        <v>465</v>
      </c>
      <c r="C277" s="246" t="s">
        <v>45</v>
      </c>
      <c r="E277" s="246">
        <v>10305</v>
      </c>
      <c r="F277" s="246" t="s">
        <v>606</v>
      </c>
      <c r="G277" s="246">
        <v>350000</v>
      </c>
      <c r="H277" s="246">
        <f>(G277*0.18)</f>
        <v>63000</v>
      </c>
      <c r="I277" s="246">
        <f>G277*0.1</f>
        <v>35000</v>
      </c>
      <c r="O277" s="246" t="s">
        <v>500</v>
      </c>
      <c r="P277" s="246">
        <f t="shared" si="53"/>
        <v>413000</v>
      </c>
      <c r="U277" s="246" t="s">
        <v>749</v>
      </c>
      <c r="V277" s="246">
        <f t="shared" si="52"/>
        <v>378000</v>
      </c>
      <c r="W277" s="246">
        <v>378000</v>
      </c>
      <c r="Y277" s="246" t="s">
        <v>750</v>
      </c>
    </row>
    <row r="278" spans="1:25">
      <c r="B278" s="256" t="s">
        <v>736</v>
      </c>
      <c r="E278" s="246">
        <v>10323</v>
      </c>
      <c r="F278" s="269" t="s">
        <v>751</v>
      </c>
      <c r="G278" s="257">
        <v>160000</v>
      </c>
      <c r="H278" s="246">
        <f t="shared" ref="H278:H286" si="54">G278*0.18</f>
        <v>28800</v>
      </c>
      <c r="I278" s="246">
        <f>G278*0.075</f>
        <v>12000</v>
      </c>
      <c r="O278" s="246" t="s">
        <v>500</v>
      </c>
      <c r="P278" s="246">
        <f t="shared" si="53"/>
        <v>188800</v>
      </c>
      <c r="S278" s="268" t="s">
        <v>731</v>
      </c>
      <c r="T278" s="268"/>
      <c r="U278" s="246" t="s">
        <v>752</v>
      </c>
      <c r="V278" s="246">
        <f t="shared" si="52"/>
        <v>176800</v>
      </c>
    </row>
    <row r="279" spans="1:25">
      <c r="A279" s="246" t="s">
        <v>35</v>
      </c>
      <c r="B279" s="246" t="s">
        <v>553</v>
      </c>
      <c r="C279" s="261">
        <v>43831</v>
      </c>
      <c r="E279" s="246">
        <v>10306</v>
      </c>
      <c r="F279" s="271" t="s">
        <v>753</v>
      </c>
      <c r="G279" s="250">
        <v>140000</v>
      </c>
      <c r="H279" s="246">
        <f t="shared" si="54"/>
        <v>25200</v>
      </c>
      <c r="I279" s="246">
        <f>G279*0.1</f>
        <v>14000</v>
      </c>
      <c r="O279" s="246" t="s">
        <v>500</v>
      </c>
      <c r="P279" s="246">
        <f t="shared" si="53"/>
        <v>165200</v>
      </c>
      <c r="U279" s="246" t="s">
        <v>754</v>
      </c>
      <c r="V279" s="246">
        <f t="shared" si="52"/>
        <v>151200</v>
      </c>
    </row>
    <row r="280" spans="1:25" ht="30" customHeight="1">
      <c r="A280" s="246" t="s">
        <v>35</v>
      </c>
      <c r="B280" s="246" t="s">
        <v>553</v>
      </c>
      <c r="C280" s="246" t="s">
        <v>45</v>
      </c>
      <c r="E280" s="246">
        <v>10307</v>
      </c>
      <c r="F280" s="250" t="s">
        <v>755</v>
      </c>
      <c r="G280" s="250">
        <v>62500</v>
      </c>
      <c r="H280" s="246">
        <f t="shared" si="54"/>
        <v>11250</v>
      </c>
      <c r="I280" s="246">
        <f>G280*0.1</f>
        <v>6250</v>
      </c>
      <c r="O280" s="246" t="s">
        <v>500</v>
      </c>
      <c r="U280" s="246" t="s">
        <v>754</v>
      </c>
      <c r="V280" s="246">
        <f t="shared" si="52"/>
        <v>67500</v>
      </c>
    </row>
    <row r="281" spans="1:25">
      <c r="A281" s="246" t="s">
        <v>35</v>
      </c>
      <c r="B281" s="246" t="s">
        <v>427</v>
      </c>
      <c r="C281" s="246" t="s">
        <v>45</v>
      </c>
      <c r="E281" s="246">
        <v>10309</v>
      </c>
      <c r="F281" s="246" t="s">
        <v>756</v>
      </c>
      <c r="G281" s="246">
        <f>(1250000*0.15)+(187500*0.1)</f>
        <v>206250</v>
      </c>
      <c r="H281" s="246">
        <f t="shared" si="54"/>
        <v>37125</v>
      </c>
      <c r="I281" s="246">
        <f t="shared" ref="I281:I285" si="55">G281*0.075</f>
        <v>15468.75</v>
      </c>
      <c r="O281" s="246" t="s">
        <v>500</v>
      </c>
      <c r="P281" s="246">
        <f>H281+G281</f>
        <v>243375</v>
      </c>
      <c r="U281" s="246" t="s">
        <v>757</v>
      </c>
      <c r="V281" s="246">
        <f t="shared" si="52"/>
        <v>227906.25</v>
      </c>
      <c r="W281" s="246">
        <f>V281</f>
        <v>227906.25</v>
      </c>
      <c r="Y281" s="246" t="s">
        <v>758</v>
      </c>
    </row>
    <row r="282" spans="1:25">
      <c r="A282" s="246" t="s">
        <v>35</v>
      </c>
      <c r="B282" s="246" t="s">
        <v>427</v>
      </c>
      <c r="C282" s="246" t="s">
        <v>45</v>
      </c>
      <c r="E282" s="246">
        <v>10309</v>
      </c>
      <c r="F282" s="246" t="s">
        <v>759</v>
      </c>
      <c r="G282" s="246">
        <f>(1250000*0.05)+(62500*0.1)</f>
        <v>68750</v>
      </c>
      <c r="H282" s="246">
        <f t="shared" si="54"/>
        <v>12375</v>
      </c>
      <c r="I282" s="246">
        <f t="shared" si="55"/>
        <v>5156.25</v>
      </c>
      <c r="O282" s="246" t="s">
        <v>500</v>
      </c>
      <c r="P282" s="246">
        <f>H282+G282</f>
        <v>81125</v>
      </c>
      <c r="U282" s="246" t="s">
        <v>757</v>
      </c>
      <c r="V282" s="246">
        <f t="shared" si="52"/>
        <v>75968.75</v>
      </c>
      <c r="W282" s="246">
        <f>V282</f>
        <v>75968.75</v>
      </c>
      <c r="Y282" s="246" t="s">
        <v>758</v>
      </c>
    </row>
    <row r="283" spans="1:25">
      <c r="B283" s="256" t="s">
        <v>736</v>
      </c>
      <c r="E283" s="246">
        <v>10323</v>
      </c>
      <c r="F283" s="269" t="s">
        <v>760</v>
      </c>
      <c r="G283" s="257">
        <v>120000</v>
      </c>
      <c r="H283" s="246">
        <f t="shared" si="54"/>
        <v>21600</v>
      </c>
      <c r="I283" s="246">
        <f t="shared" si="55"/>
        <v>9000</v>
      </c>
      <c r="O283" s="246" t="s">
        <v>500</v>
      </c>
      <c r="P283" s="246">
        <f>G283+H283</f>
        <v>141600</v>
      </c>
      <c r="S283" s="268" t="s">
        <v>731</v>
      </c>
      <c r="T283" s="268"/>
      <c r="U283" s="246" t="s">
        <v>752</v>
      </c>
      <c r="V283" s="246">
        <f t="shared" si="52"/>
        <v>132600</v>
      </c>
    </row>
    <row r="284" spans="1:25">
      <c r="B284" s="256" t="s">
        <v>736</v>
      </c>
      <c r="E284" s="246">
        <v>10323</v>
      </c>
      <c r="F284" s="269" t="s">
        <v>761</v>
      </c>
      <c r="G284" s="257">
        <v>120000</v>
      </c>
      <c r="H284" s="246">
        <f t="shared" si="54"/>
        <v>21600</v>
      </c>
      <c r="I284" s="246">
        <f t="shared" si="55"/>
        <v>9000</v>
      </c>
      <c r="O284" s="246" t="s">
        <v>500</v>
      </c>
      <c r="P284" s="246">
        <f>G284+H284</f>
        <v>141600</v>
      </c>
      <c r="S284" s="268" t="s">
        <v>731</v>
      </c>
      <c r="T284" s="268"/>
      <c r="U284" s="246" t="s">
        <v>752</v>
      </c>
      <c r="V284" s="246">
        <f t="shared" si="52"/>
        <v>132600</v>
      </c>
    </row>
    <row r="285" spans="1:25">
      <c r="B285" s="246" t="s">
        <v>183</v>
      </c>
      <c r="E285" s="246">
        <v>10331</v>
      </c>
      <c r="F285" s="246" t="s">
        <v>762</v>
      </c>
      <c r="G285" s="257">
        <v>183900</v>
      </c>
      <c r="H285" s="246">
        <f t="shared" si="54"/>
        <v>33102</v>
      </c>
      <c r="I285" s="246">
        <f t="shared" si="55"/>
        <v>13792.5</v>
      </c>
      <c r="J285" s="246">
        <v>112500</v>
      </c>
      <c r="K285" s="246" t="s">
        <v>500</v>
      </c>
      <c r="L285" s="246">
        <v>2147010</v>
      </c>
      <c r="M285" s="246" t="s">
        <v>708</v>
      </c>
      <c r="O285" s="246" t="s">
        <v>500</v>
      </c>
      <c r="S285" s="246" t="s">
        <v>709</v>
      </c>
    </row>
    <row r="286" spans="1:25">
      <c r="B286" s="246" t="s">
        <v>692</v>
      </c>
      <c r="C286" s="246" t="s">
        <v>142</v>
      </c>
      <c r="E286" s="246">
        <v>10332</v>
      </c>
      <c r="F286" s="246" t="s">
        <v>768</v>
      </c>
      <c r="G286" s="257">
        <f>8128590*0.2*0.3</f>
        <v>487715.39999999997</v>
      </c>
      <c r="H286" s="246">
        <f t="shared" si="54"/>
        <v>87788.771999999997</v>
      </c>
      <c r="I286" s="246">
        <f>G286*0.1</f>
        <v>48771.54</v>
      </c>
      <c r="O286" s="246" t="s">
        <v>500</v>
      </c>
      <c r="P286" s="246">
        <v>698316</v>
      </c>
      <c r="S286" s="246" t="s">
        <v>731</v>
      </c>
      <c r="U286" s="246" t="s">
        <v>769</v>
      </c>
      <c r="V286" s="246">
        <f t="shared" ref="V286" si="56">G286+H286-I286+N286</f>
        <v>526732.63199999998</v>
      </c>
    </row>
    <row r="287" spans="1:25" ht="31.5" customHeight="1">
      <c r="B287" s="256" t="s">
        <v>738</v>
      </c>
      <c r="C287" s="256" t="s">
        <v>739</v>
      </c>
      <c r="E287" s="246">
        <v>10336</v>
      </c>
      <c r="F287" s="270" t="s">
        <v>772</v>
      </c>
      <c r="G287" s="257">
        <f>140000*0.75</f>
        <v>105000</v>
      </c>
      <c r="H287" s="246">
        <f>G287*0.18</f>
        <v>18900</v>
      </c>
      <c r="I287" s="246">
        <f>G287*0.075</f>
        <v>7875</v>
      </c>
      <c r="O287" s="246" t="s">
        <v>500</v>
      </c>
      <c r="P287" s="246">
        <f>G287+H287</f>
        <v>123900</v>
      </c>
      <c r="S287" s="268" t="s">
        <v>731</v>
      </c>
      <c r="T287" s="268"/>
      <c r="U287" s="246" t="s">
        <v>773</v>
      </c>
      <c r="V287" s="246">
        <f>G287+H287-I287+N287</f>
        <v>116025</v>
      </c>
    </row>
    <row r="288" spans="1:25" ht="15.75" customHeight="1">
      <c r="B288" s="256" t="s">
        <v>774</v>
      </c>
      <c r="C288" s="256" t="s">
        <v>775</v>
      </c>
      <c r="E288" s="246">
        <v>10337</v>
      </c>
      <c r="F288" s="274" t="s">
        <v>776</v>
      </c>
      <c r="G288" s="257">
        <v>149281.82006249999</v>
      </c>
      <c r="S288" s="268" t="s">
        <v>731</v>
      </c>
      <c r="T288" s="268"/>
      <c r="U288" s="246" t="s">
        <v>777</v>
      </c>
    </row>
    <row r="289" spans="1:26" ht="15.75" customHeight="1">
      <c r="B289" s="256" t="s">
        <v>778</v>
      </c>
      <c r="C289" s="256" t="s">
        <v>775</v>
      </c>
      <c r="E289" s="246">
        <v>10338</v>
      </c>
      <c r="F289" s="274" t="s">
        <v>776</v>
      </c>
      <c r="G289" s="257">
        <v>724348.67999999982</v>
      </c>
      <c r="H289" s="246">
        <f>G289*0.18</f>
        <v>130382.76239999996</v>
      </c>
      <c r="I289" s="246">
        <f>G289*0.1</f>
        <v>72434.867999999988</v>
      </c>
      <c r="P289" s="268">
        <f>G289+H289</f>
        <v>854731.44239999983</v>
      </c>
      <c r="Q289" s="268"/>
      <c r="R289" s="268"/>
      <c r="S289" s="268" t="s">
        <v>731</v>
      </c>
      <c r="T289" s="268"/>
      <c r="U289" s="246" t="s">
        <v>777</v>
      </c>
      <c r="V289" s="268">
        <f>P289-I289</f>
        <v>782296.57439999981</v>
      </c>
    </row>
    <row r="290" spans="1:26" ht="15.75" customHeight="1">
      <c r="A290" s="246" t="s">
        <v>35</v>
      </c>
      <c r="B290" s="256" t="s">
        <v>779</v>
      </c>
      <c r="E290" s="275">
        <v>10321</v>
      </c>
      <c r="F290" s="270" t="s">
        <v>780</v>
      </c>
      <c r="G290" s="272">
        <v>100000</v>
      </c>
      <c r="H290" s="246">
        <f>G290*0.18</f>
        <v>18000</v>
      </c>
      <c r="I290" s="246">
        <f>G290*0.075</f>
        <v>7500</v>
      </c>
      <c r="O290" s="246" t="s">
        <v>500</v>
      </c>
      <c r="P290" s="246">
        <f>G290+H290</f>
        <v>118000</v>
      </c>
      <c r="U290" s="256" t="s">
        <v>781</v>
      </c>
      <c r="V290" s="246">
        <f>G290+H290-I290+N290</f>
        <v>110500</v>
      </c>
    </row>
    <row r="291" spans="1:26" ht="15.75" customHeight="1">
      <c r="B291" s="256" t="s">
        <v>774</v>
      </c>
      <c r="C291" s="256" t="s">
        <v>775</v>
      </c>
      <c r="E291" s="246">
        <v>220002</v>
      </c>
      <c r="F291" s="274" t="s">
        <v>782</v>
      </c>
      <c r="G291" s="257">
        <v>149281.82006249999</v>
      </c>
      <c r="S291" s="268" t="s">
        <v>783</v>
      </c>
      <c r="T291" s="268"/>
      <c r="U291" s="246" t="s">
        <v>784</v>
      </c>
    </row>
    <row r="292" spans="1:26" ht="15.75" customHeight="1">
      <c r="B292" s="256" t="s">
        <v>774</v>
      </c>
      <c r="C292" s="256" t="s">
        <v>775</v>
      </c>
      <c r="E292" s="246">
        <v>220003</v>
      </c>
      <c r="F292" s="274" t="s">
        <v>785</v>
      </c>
      <c r="G292" s="257">
        <v>199042.42675000001</v>
      </c>
      <c r="S292" s="268" t="s">
        <v>783</v>
      </c>
      <c r="T292" s="268"/>
      <c r="U292" s="246" t="s">
        <v>786</v>
      </c>
    </row>
    <row r="293" spans="1:26" ht="75" customHeight="1">
      <c r="B293" s="276" t="s">
        <v>787</v>
      </c>
      <c r="C293" s="256" t="s">
        <v>775</v>
      </c>
      <c r="E293" s="246">
        <v>220004</v>
      </c>
      <c r="F293" s="274" t="s">
        <v>776</v>
      </c>
      <c r="G293" s="257">
        <v>196940.12801173329</v>
      </c>
      <c r="H293" s="246">
        <v>163440</v>
      </c>
      <c r="I293" s="246">
        <v>68100</v>
      </c>
      <c r="J293" s="246" t="s">
        <v>500</v>
      </c>
      <c r="K293" s="246">
        <v>318626</v>
      </c>
      <c r="O293" s="246" t="s">
        <v>500</v>
      </c>
      <c r="P293" s="246">
        <f t="shared" ref="P293:P302" si="57">G293+H293</f>
        <v>360380.12801173329</v>
      </c>
      <c r="S293" s="268" t="s">
        <v>783</v>
      </c>
      <c r="T293" s="268"/>
      <c r="U293" s="246" t="s">
        <v>788</v>
      </c>
    </row>
    <row r="294" spans="1:26">
      <c r="A294" s="246" t="s">
        <v>35</v>
      </c>
      <c r="B294" s="256" t="s">
        <v>789</v>
      </c>
      <c r="E294" s="246">
        <v>10324</v>
      </c>
      <c r="F294" s="277" t="s">
        <v>790</v>
      </c>
      <c r="G294" s="277">
        <v>80000</v>
      </c>
      <c r="H294" s="246">
        <f t="shared" ref="H294:H302" si="58">G294*0.18</f>
        <v>14400</v>
      </c>
      <c r="I294" s="246">
        <f>G294*0.075</f>
        <v>6000</v>
      </c>
      <c r="O294" s="246" t="s">
        <v>500</v>
      </c>
      <c r="P294" s="246">
        <f t="shared" si="57"/>
        <v>94400</v>
      </c>
      <c r="U294" s="246" t="s">
        <v>791</v>
      </c>
      <c r="V294" s="246">
        <f t="shared" ref="V294:V302" si="59">G294+H294-I294+N294</f>
        <v>88400</v>
      </c>
    </row>
    <row r="295" spans="1:26">
      <c r="A295" s="246" t="s">
        <v>35</v>
      </c>
      <c r="B295" s="256" t="s">
        <v>789</v>
      </c>
      <c r="E295" s="246">
        <v>10324</v>
      </c>
      <c r="F295" s="277" t="s">
        <v>792</v>
      </c>
      <c r="G295" s="277">
        <v>50000</v>
      </c>
      <c r="H295" s="246">
        <f t="shared" si="58"/>
        <v>9000</v>
      </c>
      <c r="I295" s="246">
        <f>G295*0.075</f>
        <v>3750</v>
      </c>
      <c r="O295" s="246" t="s">
        <v>500</v>
      </c>
      <c r="P295" s="246">
        <f t="shared" si="57"/>
        <v>59000</v>
      </c>
      <c r="U295" s="246" t="s">
        <v>791</v>
      </c>
      <c r="V295" s="246">
        <f t="shared" si="59"/>
        <v>55250</v>
      </c>
    </row>
    <row r="296" spans="1:26">
      <c r="A296" s="246" t="s">
        <v>35</v>
      </c>
      <c r="B296" s="256" t="s">
        <v>789</v>
      </c>
      <c r="E296" s="246">
        <v>10324</v>
      </c>
      <c r="F296" s="277" t="s">
        <v>793</v>
      </c>
      <c r="G296" s="277">
        <v>20000</v>
      </c>
      <c r="H296" s="246">
        <f t="shared" si="58"/>
        <v>3600</v>
      </c>
      <c r="I296" s="246">
        <f>G296*0.075</f>
        <v>1500</v>
      </c>
      <c r="O296" s="246" t="s">
        <v>500</v>
      </c>
      <c r="P296" s="246">
        <f t="shared" si="57"/>
        <v>23600</v>
      </c>
      <c r="U296" s="246" t="s">
        <v>791</v>
      </c>
      <c r="V296" s="246">
        <f t="shared" si="59"/>
        <v>22100</v>
      </c>
    </row>
    <row r="297" spans="1:26" ht="30" customHeight="1">
      <c r="A297" s="246" t="s">
        <v>35</v>
      </c>
      <c r="B297" s="256" t="s">
        <v>789</v>
      </c>
      <c r="E297" s="246">
        <v>10325</v>
      </c>
      <c r="F297" s="277" t="s">
        <v>794</v>
      </c>
      <c r="G297" s="277">
        <v>50000</v>
      </c>
      <c r="H297" s="246">
        <f t="shared" si="58"/>
        <v>9000</v>
      </c>
      <c r="I297" s="246">
        <f>G297*0.075</f>
        <v>3750</v>
      </c>
      <c r="O297" s="246" t="s">
        <v>500</v>
      </c>
      <c r="P297" s="246">
        <f t="shared" si="57"/>
        <v>59000</v>
      </c>
      <c r="U297" s="246" t="s">
        <v>791</v>
      </c>
      <c r="V297" s="246">
        <f t="shared" si="59"/>
        <v>55250</v>
      </c>
    </row>
    <row r="298" spans="1:26">
      <c r="A298" s="256" t="s">
        <v>35</v>
      </c>
      <c r="B298" s="246" t="s">
        <v>553</v>
      </c>
      <c r="C298" s="261">
        <v>43831</v>
      </c>
      <c r="E298" s="246">
        <v>10327</v>
      </c>
      <c r="F298" s="271" t="s">
        <v>795</v>
      </c>
      <c r="G298" s="250">
        <v>70000</v>
      </c>
      <c r="H298" s="246">
        <f t="shared" si="58"/>
        <v>12600</v>
      </c>
      <c r="I298" s="246">
        <f>G298*0.1</f>
        <v>7000</v>
      </c>
      <c r="O298" s="246" t="s">
        <v>500</v>
      </c>
      <c r="P298" s="246">
        <f t="shared" si="57"/>
        <v>82600</v>
      </c>
      <c r="U298" s="246" t="s">
        <v>796</v>
      </c>
      <c r="V298" s="246">
        <f t="shared" si="59"/>
        <v>75600</v>
      </c>
    </row>
    <row r="299" spans="1:26">
      <c r="A299" s="246" t="s">
        <v>35</v>
      </c>
      <c r="B299" s="256" t="s">
        <v>789</v>
      </c>
      <c r="E299" s="275">
        <v>10328</v>
      </c>
      <c r="F299" s="278" t="s">
        <v>711</v>
      </c>
      <c r="G299" s="277">
        <v>100000</v>
      </c>
      <c r="H299" s="246">
        <f t="shared" si="58"/>
        <v>18000</v>
      </c>
      <c r="I299" s="246">
        <f>G299*0.075</f>
        <v>7500</v>
      </c>
      <c r="O299" s="246" t="s">
        <v>500</v>
      </c>
      <c r="P299" s="246">
        <f t="shared" si="57"/>
        <v>118000</v>
      </c>
      <c r="U299" s="256" t="s">
        <v>797</v>
      </c>
      <c r="V299" s="246">
        <f t="shared" si="59"/>
        <v>110500</v>
      </c>
    </row>
    <row r="300" spans="1:26" ht="30" customHeight="1">
      <c r="A300" s="256" t="s">
        <v>35</v>
      </c>
      <c r="B300" s="256" t="s">
        <v>798</v>
      </c>
      <c r="C300" s="256" t="s">
        <v>799</v>
      </c>
      <c r="E300" s="246">
        <v>10329</v>
      </c>
      <c r="F300" s="278" t="s">
        <v>800</v>
      </c>
      <c r="G300" s="277">
        <v>570000</v>
      </c>
      <c r="H300" s="246">
        <f t="shared" si="58"/>
        <v>102600</v>
      </c>
      <c r="I300" s="246">
        <f>G300*0.075</f>
        <v>42750</v>
      </c>
      <c r="O300" s="246" t="s">
        <v>500</v>
      </c>
      <c r="P300" s="246">
        <f t="shared" si="57"/>
        <v>672600</v>
      </c>
      <c r="U300" s="246" t="s">
        <v>801</v>
      </c>
      <c r="V300" s="246">
        <f t="shared" si="59"/>
        <v>629850</v>
      </c>
      <c r="W300" s="246">
        <v>855000</v>
      </c>
      <c r="Y300" s="246" t="s">
        <v>802</v>
      </c>
    </row>
    <row r="301" spans="1:26" ht="30" customHeight="1">
      <c r="A301" s="256" t="s">
        <v>35</v>
      </c>
      <c r="B301" s="256" t="s">
        <v>798</v>
      </c>
      <c r="C301" s="256" t="s">
        <v>799</v>
      </c>
      <c r="E301" s="246">
        <v>10329</v>
      </c>
      <c r="F301" s="278" t="s">
        <v>803</v>
      </c>
      <c r="G301" s="277">
        <v>380000</v>
      </c>
      <c r="H301" s="246">
        <f t="shared" si="58"/>
        <v>68400</v>
      </c>
      <c r="I301" s="246">
        <f>G301*0.075</f>
        <v>28500</v>
      </c>
      <c r="O301" s="246" t="s">
        <v>500</v>
      </c>
      <c r="P301" s="246">
        <f t="shared" si="57"/>
        <v>448400</v>
      </c>
      <c r="U301" s="246" t="s">
        <v>801</v>
      </c>
      <c r="V301" s="246">
        <f t="shared" si="59"/>
        <v>419900</v>
      </c>
    </row>
    <row r="302" spans="1:26" ht="30" customHeight="1">
      <c r="A302" s="256" t="s">
        <v>35</v>
      </c>
      <c r="B302" s="256" t="s">
        <v>798</v>
      </c>
      <c r="C302" s="256" t="s">
        <v>799</v>
      </c>
      <c r="E302" s="246">
        <v>10330</v>
      </c>
      <c r="F302" s="278" t="s">
        <v>804</v>
      </c>
      <c r="G302" s="277">
        <v>380000</v>
      </c>
      <c r="H302" s="246">
        <f t="shared" si="58"/>
        <v>68400</v>
      </c>
      <c r="I302" s="246">
        <f>G302*0.075</f>
        <v>28500</v>
      </c>
      <c r="O302" s="246" t="s">
        <v>500</v>
      </c>
      <c r="P302" s="246">
        <f t="shared" si="57"/>
        <v>448400</v>
      </c>
      <c r="U302" s="246" t="s">
        <v>805</v>
      </c>
      <c r="V302" s="246">
        <f t="shared" si="59"/>
        <v>419900</v>
      </c>
      <c r="W302" s="246">
        <v>439432</v>
      </c>
      <c r="Y302" s="246" t="s">
        <v>806</v>
      </c>
      <c r="Z302" s="246">
        <f>V302-W302</f>
        <v>-19532</v>
      </c>
    </row>
    <row r="303" spans="1:26">
      <c r="A303" s="256" t="s">
        <v>807</v>
      </c>
      <c r="B303" s="256" t="s">
        <v>808</v>
      </c>
      <c r="E303" s="246">
        <v>10313</v>
      </c>
      <c r="F303" s="269" t="s">
        <v>618</v>
      </c>
      <c r="G303" s="257">
        <v>560000</v>
      </c>
      <c r="H303" s="246">
        <f>G303*0.18</f>
        <v>100800</v>
      </c>
      <c r="I303" s="246">
        <f>G303*0.1</f>
        <v>56000</v>
      </c>
      <c r="O303" s="246" t="s">
        <v>500</v>
      </c>
      <c r="P303" s="246">
        <f>G303+H303</f>
        <v>660800</v>
      </c>
      <c r="U303" s="256" t="s">
        <v>809</v>
      </c>
      <c r="V303" s="246">
        <f>G303+H303-I303+N303</f>
        <v>604800</v>
      </c>
      <c r="W303" s="246">
        <v>604800</v>
      </c>
      <c r="Y303" s="246" t="s">
        <v>810</v>
      </c>
    </row>
    <row r="304" spans="1:26">
      <c r="A304" s="256" t="s">
        <v>807</v>
      </c>
      <c r="B304" s="256" t="s">
        <v>808</v>
      </c>
      <c r="E304" s="246">
        <v>10316</v>
      </c>
      <c r="F304" s="269" t="s">
        <v>653</v>
      </c>
      <c r="G304" s="257">
        <v>560000</v>
      </c>
      <c r="H304" s="246">
        <f>G304*0.18</f>
        <v>100800</v>
      </c>
      <c r="I304" s="246">
        <f>G304*0.1</f>
        <v>56000</v>
      </c>
      <c r="O304" s="246" t="s">
        <v>500</v>
      </c>
      <c r="P304" s="246">
        <f>G304+H304</f>
        <v>660800</v>
      </c>
      <c r="U304" s="246" t="s">
        <v>811</v>
      </c>
      <c r="V304" s="246">
        <f>G304+H304-I304+N304</f>
        <v>604800</v>
      </c>
      <c r="W304" s="246">
        <f>V304</f>
        <v>604800</v>
      </c>
      <c r="Y304" s="246" t="s">
        <v>812</v>
      </c>
    </row>
    <row r="305" spans="1:30">
      <c r="A305" s="256" t="s">
        <v>807</v>
      </c>
      <c r="B305" s="256" t="s">
        <v>808</v>
      </c>
      <c r="E305" s="246">
        <v>10316</v>
      </c>
      <c r="F305" s="269" t="s">
        <v>551</v>
      </c>
      <c r="G305" s="257">
        <v>420000</v>
      </c>
      <c r="H305" s="246">
        <f>G305*0.18</f>
        <v>75600</v>
      </c>
      <c r="I305" s="246">
        <f>G305*0.1</f>
        <v>42000</v>
      </c>
      <c r="O305" s="246" t="s">
        <v>500</v>
      </c>
      <c r="P305" s="246">
        <f>G305+H305</f>
        <v>495600</v>
      </c>
      <c r="U305" s="246" t="s">
        <v>811</v>
      </c>
      <c r="V305" s="246">
        <f>G305+H305-I305+N305</f>
        <v>453600</v>
      </c>
      <c r="W305" s="246">
        <f>V305</f>
        <v>453600</v>
      </c>
      <c r="Y305" s="246" t="s">
        <v>812</v>
      </c>
    </row>
    <row r="306" spans="1:30">
      <c r="A306" s="256" t="s">
        <v>807</v>
      </c>
      <c r="B306" s="256" t="s">
        <v>808</v>
      </c>
      <c r="E306" s="279" t="s">
        <v>813</v>
      </c>
      <c r="F306" s="269" t="s">
        <v>399</v>
      </c>
      <c r="G306" s="257">
        <v>420000</v>
      </c>
      <c r="H306" s="246">
        <f>G306*0.18</f>
        <v>75600</v>
      </c>
      <c r="I306" s="246">
        <f>G306*0.075</f>
        <v>31500</v>
      </c>
      <c r="O306" s="246" t="s">
        <v>500</v>
      </c>
      <c r="P306" s="246">
        <f>G306+H306</f>
        <v>495600</v>
      </c>
      <c r="U306" s="256" t="s">
        <v>796</v>
      </c>
      <c r="V306" s="246">
        <f>G306+H306-I306+N306</f>
        <v>464100</v>
      </c>
    </row>
    <row r="307" spans="1:30">
      <c r="A307" s="256" t="s">
        <v>807</v>
      </c>
      <c r="B307" s="256" t="s">
        <v>808</v>
      </c>
      <c r="E307" s="279" t="s">
        <v>813</v>
      </c>
      <c r="F307" s="269" t="s">
        <v>571</v>
      </c>
      <c r="G307" s="257">
        <v>280000</v>
      </c>
      <c r="H307" s="246">
        <f>G307*0.18</f>
        <v>50400</v>
      </c>
      <c r="I307" s="246">
        <f>G307*0.075</f>
        <v>21000</v>
      </c>
      <c r="O307" s="246" t="s">
        <v>500</v>
      </c>
      <c r="P307" s="246">
        <f>G307+H307</f>
        <v>330400</v>
      </c>
      <c r="U307" s="256" t="s">
        <v>796</v>
      </c>
      <c r="V307" s="246">
        <f>G307+H307-I307+N307</f>
        <v>309400</v>
      </c>
    </row>
    <row r="308" spans="1:30" ht="75" customHeight="1">
      <c r="B308" s="276" t="s">
        <v>787</v>
      </c>
      <c r="C308" s="256" t="s">
        <v>775</v>
      </c>
      <c r="E308" s="246">
        <v>220004</v>
      </c>
      <c r="F308" s="274" t="s">
        <v>782</v>
      </c>
      <c r="G308" s="257">
        <v>196940.12801173329</v>
      </c>
      <c r="S308" s="268" t="s">
        <v>783</v>
      </c>
      <c r="T308" s="268"/>
      <c r="U308" s="246" t="s">
        <v>788</v>
      </c>
    </row>
    <row r="309" spans="1:30" ht="75" customHeight="1">
      <c r="B309" s="276" t="s">
        <v>787</v>
      </c>
      <c r="C309" s="256" t="s">
        <v>775</v>
      </c>
      <c r="E309" s="246">
        <v>220004</v>
      </c>
      <c r="F309" s="274" t="s">
        <v>785</v>
      </c>
      <c r="G309" s="257">
        <v>262586.83734897769</v>
      </c>
      <c r="S309" s="268" t="s">
        <v>783</v>
      </c>
      <c r="T309" s="268"/>
      <c r="U309" s="246" t="s">
        <v>788</v>
      </c>
      <c r="AD309" s="256" t="s">
        <v>814</v>
      </c>
    </row>
    <row r="310" spans="1:30" ht="30" customHeight="1">
      <c r="A310" s="256" t="s">
        <v>35</v>
      </c>
      <c r="B310" s="256" t="s">
        <v>798</v>
      </c>
      <c r="C310" s="256" t="s">
        <v>799</v>
      </c>
      <c r="E310" s="246">
        <v>10335</v>
      </c>
      <c r="F310" s="277" t="s">
        <v>815</v>
      </c>
      <c r="G310" s="277">
        <v>380000</v>
      </c>
      <c r="H310" s="246">
        <f>G310*0.18</f>
        <v>68400</v>
      </c>
      <c r="I310" s="246">
        <f>G310*0.075</f>
        <v>28500</v>
      </c>
      <c r="O310" s="246" t="s">
        <v>500</v>
      </c>
      <c r="P310" s="246">
        <f>G310+H310</f>
        <v>448400</v>
      </c>
      <c r="U310" s="246" t="s">
        <v>816</v>
      </c>
      <c r="V310" s="246">
        <f>G310+H310-I310+N310</f>
        <v>419900</v>
      </c>
    </row>
    <row r="311" spans="1:30" ht="15.75" customHeight="1">
      <c r="B311" s="256" t="s">
        <v>817</v>
      </c>
      <c r="C311" s="256" t="s">
        <v>775</v>
      </c>
      <c r="E311" s="246">
        <v>220005</v>
      </c>
      <c r="F311" s="274" t="s">
        <v>776</v>
      </c>
      <c r="G311" s="257">
        <v>838069.64014230936</v>
      </c>
      <c r="S311" s="268" t="s">
        <v>783</v>
      </c>
      <c r="T311" s="268"/>
      <c r="U311" s="246" t="s">
        <v>818</v>
      </c>
    </row>
    <row r="312" spans="1:30" ht="15.75" customHeight="1">
      <c r="B312" s="256" t="s">
        <v>774</v>
      </c>
      <c r="C312" s="256" t="s">
        <v>775</v>
      </c>
      <c r="E312" s="246">
        <v>220008</v>
      </c>
      <c r="F312" s="274" t="s">
        <v>819</v>
      </c>
      <c r="G312" s="257">
        <v>199042.42675000001</v>
      </c>
      <c r="S312" s="268" t="s">
        <v>783</v>
      </c>
      <c r="T312" s="268"/>
      <c r="U312" s="246" t="s">
        <v>820</v>
      </c>
    </row>
    <row r="313" spans="1:30" ht="15.75" customHeight="1">
      <c r="B313" s="256" t="s">
        <v>778</v>
      </c>
      <c r="C313" s="256" t="s">
        <v>775</v>
      </c>
      <c r="E313" s="246">
        <v>220009</v>
      </c>
      <c r="F313" s="274" t="s">
        <v>782</v>
      </c>
      <c r="G313" s="257">
        <v>724348.67999999982</v>
      </c>
      <c r="H313" s="246">
        <f t="shared" ref="H313:H319" si="60">G313*0.18</f>
        <v>130382.76239999996</v>
      </c>
      <c r="I313" s="246">
        <f>G313*0.1</f>
        <v>72434.867999999988</v>
      </c>
      <c r="K313" s="268">
        <v>854731.44239999983</v>
      </c>
      <c r="P313" s="268">
        <f t="shared" ref="P313:P319" si="61">G313+H313</f>
        <v>854731.44239999983</v>
      </c>
      <c r="Q313" s="268"/>
      <c r="R313" s="268"/>
      <c r="S313" s="268" t="s">
        <v>783</v>
      </c>
      <c r="T313" s="268"/>
      <c r="U313" s="246" t="s">
        <v>820</v>
      </c>
    </row>
    <row r="314" spans="1:30">
      <c r="A314" s="256" t="s">
        <v>35</v>
      </c>
      <c r="B314" s="246" t="s">
        <v>553</v>
      </c>
      <c r="C314" s="261">
        <v>43831</v>
      </c>
      <c r="E314" s="246">
        <v>10339</v>
      </c>
      <c r="F314" s="271" t="s">
        <v>606</v>
      </c>
      <c r="G314" s="250">
        <v>70000</v>
      </c>
      <c r="H314" s="246">
        <f t="shared" si="60"/>
        <v>12600</v>
      </c>
      <c r="I314" s="246">
        <f>G314*0.1</f>
        <v>7000</v>
      </c>
      <c r="O314" s="246" t="s">
        <v>500</v>
      </c>
      <c r="P314" s="246">
        <f t="shared" si="61"/>
        <v>82600</v>
      </c>
      <c r="U314" s="246" t="s">
        <v>821</v>
      </c>
      <c r="V314" s="246">
        <f>G314+H314-I314+N314</f>
        <v>75600</v>
      </c>
    </row>
    <row r="315" spans="1:30">
      <c r="A315" s="256" t="s">
        <v>35</v>
      </c>
      <c r="B315" s="256" t="s">
        <v>822</v>
      </c>
      <c r="C315" s="261">
        <v>44896</v>
      </c>
      <c r="E315" s="246">
        <v>220001</v>
      </c>
      <c r="F315" s="277" t="s">
        <v>823</v>
      </c>
      <c r="G315" s="277">
        <v>1100000</v>
      </c>
      <c r="H315" s="246">
        <f t="shared" si="60"/>
        <v>198000</v>
      </c>
      <c r="I315" s="246">
        <f>G315*0.075</f>
        <v>82500</v>
      </c>
      <c r="O315" s="246" t="s">
        <v>500</v>
      </c>
      <c r="P315" s="246">
        <f t="shared" si="61"/>
        <v>1298000</v>
      </c>
      <c r="U315" s="246" t="s">
        <v>824</v>
      </c>
      <c r="V315" s="246">
        <f>G315+H315-I315+N315</f>
        <v>1215500</v>
      </c>
    </row>
    <row r="316" spans="1:30" ht="15.75" customHeight="1">
      <c r="B316" s="256" t="s">
        <v>738</v>
      </c>
      <c r="C316" s="256" t="s">
        <v>739</v>
      </c>
      <c r="E316" s="246">
        <v>220010</v>
      </c>
      <c r="F316" s="270" t="s">
        <v>825</v>
      </c>
      <c r="G316" s="257">
        <f>G313</f>
        <v>724348.67999999982</v>
      </c>
      <c r="H316" s="246">
        <f t="shared" si="60"/>
        <v>130382.76239999996</v>
      </c>
      <c r="I316" s="246">
        <f>G316*0.075</f>
        <v>54326.150999999983</v>
      </c>
      <c r="O316" s="246" t="s">
        <v>500</v>
      </c>
      <c r="P316" s="246">
        <f t="shared" si="61"/>
        <v>854731.44239999983</v>
      </c>
      <c r="S316" s="246" t="s">
        <v>783</v>
      </c>
      <c r="U316" s="246" t="s">
        <v>826</v>
      </c>
      <c r="V316" s="246">
        <f>G316+H316-I316+N316</f>
        <v>800405.29139999987</v>
      </c>
    </row>
    <row r="317" spans="1:30" ht="15.75" customHeight="1">
      <c r="B317" s="256" t="s">
        <v>778</v>
      </c>
      <c r="C317" s="256" t="s">
        <v>775</v>
      </c>
      <c r="E317" s="246">
        <v>220012</v>
      </c>
      <c r="F317" s="274" t="s">
        <v>785</v>
      </c>
      <c r="G317" s="257">
        <v>965798.23999999987</v>
      </c>
      <c r="H317" s="246">
        <f t="shared" si="60"/>
        <v>173843.68319999997</v>
      </c>
      <c r="I317" s="246">
        <f>G317*0.1</f>
        <v>96579.823999999993</v>
      </c>
      <c r="K317" s="268">
        <v>854731.44239999983</v>
      </c>
      <c r="P317" s="268">
        <f t="shared" si="61"/>
        <v>1139641.9231999998</v>
      </c>
      <c r="Q317" s="268"/>
      <c r="R317" s="268"/>
      <c r="S317" s="246" t="s">
        <v>783</v>
      </c>
      <c r="U317" s="256" t="s">
        <v>827</v>
      </c>
      <c r="V317" s="268">
        <f>P317-I317</f>
        <v>1043062.0991999998</v>
      </c>
    </row>
    <row r="318" spans="1:30" ht="31.5" customHeight="1">
      <c r="B318" s="256" t="s">
        <v>738</v>
      </c>
      <c r="C318" s="256" t="s">
        <v>739</v>
      </c>
      <c r="E318" s="246">
        <v>220013</v>
      </c>
      <c r="F318" s="270" t="s">
        <v>828</v>
      </c>
      <c r="G318" s="257">
        <f>280000*0.75</f>
        <v>210000</v>
      </c>
      <c r="H318" s="246">
        <f t="shared" si="60"/>
        <v>37800</v>
      </c>
      <c r="I318" s="246">
        <f>G318*0.075</f>
        <v>15750</v>
      </c>
      <c r="O318" s="246" t="s">
        <v>500</v>
      </c>
      <c r="P318" s="246">
        <f t="shared" si="61"/>
        <v>247800</v>
      </c>
      <c r="S318" s="246" t="s">
        <v>783</v>
      </c>
      <c r="U318" s="246" t="s">
        <v>829</v>
      </c>
      <c r="V318" s="246">
        <f>G318+H318-I318+N318</f>
        <v>232050</v>
      </c>
    </row>
    <row r="319" spans="1:30">
      <c r="B319" s="256" t="s">
        <v>736</v>
      </c>
      <c r="E319" s="246">
        <v>220014</v>
      </c>
      <c r="F319" s="269" t="s">
        <v>830</v>
      </c>
      <c r="G319" s="257">
        <v>80000</v>
      </c>
      <c r="H319" s="246">
        <f t="shared" si="60"/>
        <v>14400</v>
      </c>
      <c r="I319" s="246">
        <f>G319*0.075</f>
        <v>6000</v>
      </c>
      <c r="O319" s="246" t="s">
        <v>500</v>
      </c>
      <c r="P319" s="246">
        <f t="shared" si="61"/>
        <v>94400</v>
      </c>
      <c r="S319" s="246" t="s">
        <v>783</v>
      </c>
      <c r="U319" s="246" t="s">
        <v>831</v>
      </c>
      <c r="V319" s="246">
        <f>G319+H319-I319+N319</f>
        <v>88400</v>
      </c>
    </row>
    <row r="320" spans="1:30">
      <c r="B320" s="256" t="s">
        <v>832</v>
      </c>
      <c r="C320" s="256" t="s">
        <v>833</v>
      </c>
      <c r="E320" s="246">
        <v>220017</v>
      </c>
      <c r="F320" s="266" t="s">
        <v>711</v>
      </c>
      <c r="G320" s="257">
        <v>315000</v>
      </c>
      <c r="S320" s="256" t="s">
        <v>783</v>
      </c>
      <c r="T320" s="256"/>
      <c r="U320" s="256" t="s">
        <v>834</v>
      </c>
    </row>
    <row r="321" spans="1:25">
      <c r="B321" s="256" t="s">
        <v>835</v>
      </c>
      <c r="C321" s="256" t="s">
        <v>833</v>
      </c>
      <c r="E321" s="246">
        <v>220017</v>
      </c>
      <c r="F321" s="266" t="s">
        <v>711</v>
      </c>
      <c r="G321" s="257">
        <v>255000</v>
      </c>
      <c r="S321" s="256" t="s">
        <v>783</v>
      </c>
      <c r="T321" s="256"/>
      <c r="U321" s="256" t="s">
        <v>834</v>
      </c>
    </row>
    <row r="322" spans="1:25" ht="45" customHeight="1">
      <c r="A322" s="256" t="s">
        <v>35</v>
      </c>
      <c r="B322" s="256" t="s">
        <v>798</v>
      </c>
      <c r="C322" s="256" t="s">
        <v>799</v>
      </c>
      <c r="E322" s="246">
        <v>220006</v>
      </c>
      <c r="F322" s="277" t="s">
        <v>836</v>
      </c>
      <c r="G322" s="280">
        <v>190000</v>
      </c>
      <c r="H322" s="246">
        <f>G322*0.18</f>
        <v>34200</v>
      </c>
      <c r="I322" s="246">
        <f>G322*0.075</f>
        <v>14250</v>
      </c>
      <c r="O322" s="246" t="s">
        <v>500</v>
      </c>
      <c r="P322" s="246">
        <f>G322+H322</f>
        <v>224200</v>
      </c>
      <c r="U322" s="246" t="s">
        <v>820</v>
      </c>
      <c r="V322" s="246">
        <f>G322+H322-I322+N322</f>
        <v>209950</v>
      </c>
    </row>
    <row r="323" spans="1:25" ht="15.75" customHeight="1">
      <c r="B323" s="256" t="s">
        <v>778</v>
      </c>
      <c r="E323" s="246">
        <v>2023002</v>
      </c>
      <c r="F323" s="274" t="s">
        <v>837</v>
      </c>
      <c r="G323" s="257">
        <v>950000</v>
      </c>
      <c r="R323" s="246" t="s">
        <v>838</v>
      </c>
      <c r="S323" s="246" t="s">
        <v>839</v>
      </c>
      <c r="U323" s="246" t="s">
        <v>840</v>
      </c>
    </row>
    <row r="324" spans="1:25" ht="150" customHeight="1">
      <c r="B324" s="267" t="s">
        <v>841</v>
      </c>
      <c r="E324" s="246">
        <v>2023003</v>
      </c>
      <c r="F324" s="274" t="s">
        <v>842</v>
      </c>
      <c r="G324" s="257">
        <v>262920</v>
      </c>
      <c r="R324" s="246" t="s">
        <v>838</v>
      </c>
      <c r="S324" s="246" t="s">
        <v>839</v>
      </c>
      <c r="U324" s="246" t="s">
        <v>840</v>
      </c>
    </row>
    <row r="325" spans="1:25" ht="31.5" customHeight="1">
      <c r="B325" s="256" t="s">
        <v>774</v>
      </c>
      <c r="C325" s="256" t="s">
        <v>775</v>
      </c>
      <c r="E325" s="246">
        <v>2023004</v>
      </c>
      <c r="F325" s="274" t="s">
        <v>843</v>
      </c>
      <c r="G325" s="257">
        <v>149281.82006249999</v>
      </c>
      <c r="R325" s="246" t="s">
        <v>838</v>
      </c>
      <c r="S325" s="246" t="s">
        <v>839</v>
      </c>
      <c r="U325" s="246" t="s">
        <v>844</v>
      </c>
    </row>
    <row r="326" spans="1:25">
      <c r="A326" s="256" t="s">
        <v>35</v>
      </c>
      <c r="B326" s="256" t="s">
        <v>845</v>
      </c>
      <c r="C326" s="261">
        <v>44896</v>
      </c>
      <c r="E326" s="246">
        <v>220011</v>
      </c>
      <c r="F326" s="281" t="s">
        <v>846</v>
      </c>
      <c r="G326" s="282">
        <v>75000</v>
      </c>
      <c r="H326" s="246">
        <f>G326*0.18</f>
        <v>13500</v>
      </c>
      <c r="I326" s="246">
        <f>G326*0.075</f>
        <v>5625</v>
      </c>
      <c r="J326" s="246" t="s">
        <v>500</v>
      </c>
      <c r="K326" s="246" t="e">
        <f>B326+C326</f>
        <v>#VALUE!</v>
      </c>
      <c r="M326" s="246" t="e">
        <f>B326+C326-D326+I326</f>
        <v>#VALUE!</v>
      </c>
      <c r="O326" s="246" t="s">
        <v>500</v>
      </c>
      <c r="P326" s="246">
        <f>G326+H326</f>
        <v>88500</v>
      </c>
      <c r="S326" s="246" t="s">
        <v>783</v>
      </c>
      <c r="U326" s="256" t="s">
        <v>827</v>
      </c>
      <c r="V326" s="246">
        <f>G326+H326-I326+N326</f>
        <v>82875</v>
      </c>
    </row>
    <row r="327" spans="1:25">
      <c r="A327" s="256" t="s">
        <v>35</v>
      </c>
      <c r="B327" s="256" t="s">
        <v>845</v>
      </c>
      <c r="C327" s="261">
        <v>44896</v>
      </c>
      <c r="E327" s="283">
        <v>220011</v>
      </c>
      <c r="F327" s="281" t="s">
        <v>847</v>
      </c>
      <c r="G327" s="282">
        <v>75000</v>
      </c>
      <c r="H327" s="246">
        <f>G327*0.18</f>
        <v>13500</v>
      </c>
      <c r="I327" s="246">
        <f>G327*0.075</f>
        <v>5625</v>
      </c>
      <c r="J327" s="246" t="s">
        <v>500</v>
      </c>
      <c r="K327" s="246" t="e">
        <f>B327+C327</f>
        <v>#VALUE!</v>
      </c>
      <c r="M327" s="246" t="e">
        <f>B327+C327-D327+I327</f>
        <v>#VALUE!</v>
      </c>
      <c r="O327" s="246" t="s">
        <v>500</v>
      </c>
      <c r="P327" s="246">
        <f>G327+H327</f>
        <v>88500</v>
      </c>
      <c r="S327" s="246" t="s">
        <v>783</v>
      </c>
      <c r="U327" s="256" t="s">
        <v>827</v>
      </c>
      <c r="V327" s="246">
        <f>G327+H327-I327+N327</f>
        <v>82875</v>
      </c>
    </row>
    <row r="328" spans="1:25">
      <c r="A328" s="256" t="s">
        <v>35</v>
      </c>
      <c r="B328" s="256" t="s">
        <v>845</v>
      </c>
      <c r="C328" s="261">
        <v>44896</v>
      </c>
      <c r="E328" s="283">
        <v>220011</v>
      </c>
      <c r="F328" s="281" t="s">
        <v>848</v>
      </c>
      <c r="G328" s="282">
        <v>75000</v>
      </c>
      <c r="H328" s="246">
        <f>G328*0.18</f>
        <v>13500</v>
      </c>
      <c r="I328" s="246">
        <f>G328*0.075</f>
        <v>5625</v>
      </c>
      <c r="J328" s="246" t="s">
        <v>500</v>
      </c>
      <c r="K328" s="246" t="e">
        <f>B328+C328</f>
        <v>#VALUE!</v>
      </c>
      <c r="M328" s="246" t="e">
        <f>B328+C328-D328+I328</f>
        <v>#VALUE!</v>
      </c>
      <c r="O328" s="246" t="s">
        <v>500</v>
      </c>
      <c r="P328" s="246">
        <f>G328+H328</f>
        <v>88500</v>
      </c>
      <c r="S328" s="246" t="s">
        <v>783</v>
      </c>
      <c r="U328" s="256" t="s">
        <v>827</v>
      </c>
      <c r="V328" s="246">
        <f>G328+H328-I328+N328</f>
        <v>82875</v>
      </c>
    </row>
    <row r="329" spans="1:25" ht="31.5" customHeight="1">
      <c r="B329" s="256" t="s">
        <v>774</v>
      </c>
      <c r="C329" s="256" t="s">
        <v>775</v>
      </c>
      <c r="E329" s="246">
        <v>2023004</v>
      </c>
      <c r="F329" s="274" t="s">
        <v>849</v>
      </c>
      <c r="G329" s="257">
        <v>74640.910031249994</v>
      </c>
      <c r="R329" s="246" t="s">
        <v>838</v>
      </c>
      <c r="S329" s="246" t="s">
        <v>839</v>
      </c>
      <c r="U329" s="246" t="s">
        <v>844</v>
      </c>
    </row>
    <row r="330" spans="1:25">
      <c r="B330" s="246" t="s">
        <v>692</v>
      </c>
      <c r="C330" s="246" t="s">
        <v>142</v>
      </c>
      <c r="E330" s="246">
        <v>2023005</v>
      </c>
      <c r="F330" s="246" t="s">
        <v>850</v>
      </c>
      <c r="G330" s="257">
        <v>1138002</v>
      </c>
      <c r="H330" s="246">
        <f>G330*0.18</f>
        <v>204840.36</v>
      </c>
      <c r="I330" s="246">
        <f>G330*0.1</f>
        <v>113800.20000000001</v>
      </c>
      <c r="O330" s="246" t="s">
        <v>500</v>
      </c>
      <c r="P330" s="246">
        <f>G330+H330</f>
        <v>1342842.3599999999</v>
      </c>
      <c r="R330" s="246" t="s">
        <v>838</v>
      </c>
      <c r="S330" s="246" t="s">
        <v>839</v>
      </c>
      <c r="U330" s="246" t="s">
        <v>844</v>
      </c>
      <c r="V330" s="246">
        <f>G330+H330-I330+N330</f>
        <v>1229042.1599999999</v>
      </c>
    </row>
    <row r="331" spans="1:25">
      <c r="B331" s="246" t="s">
        <v>710</v>
      </c>
      <c r="E331" s="246">
        <v>2023006</v>
      </c>
      <c r="F331" s="266" t="s">
        <v>730</v>
      </c>
      <c r="G331" s="257">
        <f>560000/2</f>
        <v>280000</v>
      </c>
      <c r="H331" s="246">
        <f>G331*0.18</f>
        <v>50400</v>
      </c>
      <c r="I331" s="246">
        <f>G331*0.1</f>
        <v>28000</v>
      </c>
      <c r="O331" s="246" t="s">
        <v>500</v>
      </c>
      <c r="P331" s="246">
        <f>G331+H331</f>
        <v>330400</v>
      </c>
      <c r="R331" s="246" t="s">
        <v>838</v>
      </c>
      <c r="S331" s="246" t="s">
        <v>839</v>
      </c>
      <c r="U331" s="246" t="s">
        <v>851</v>
      </c>
    </row>
    <row r="332" spans="1:25" ht="15.75" customHeight="1">
      <c r="A332" s="256" t="s">
        <v>35</v>
      </c>
      <c r="B332" s="256" t="s">
        <v>852</v>
      </c>
      <c r="C332" s="256" t="s">
        <v>853</v>
      </c>
      <c r="E332" s="246">
        <v>220016</v>
      </c>
      <c r="F332" s="274" t="s">
        <v>618</v>
      </c>
      <c r="G332" s="246">
        <v>225000</v>
      </c>
      <c r="S332" s="246" t="s">
        <v>783</v>
      </c>
      <c r="U332" s="246" t="s">
        <v>854</v>
      </c>
      <c r="Y332" s="246" t="s">
        <v>855</v>
      </c>
    </row>
    <row r="333" spans="1:25" ht="15.75" customHeight="1">
      <c r="B333" s="256" t="s">
        <v>778</v>
      </c>
      <c r="C333" s="256" t="s">
        <v>775</v>
      </c>
      <c r="E333" s="246">
        <v>2023010</v>
      </c>
      <c r="F333" s="274" t="s">
        <v>819</v>
      </c>
      <c r="G333" s="257">
        <v>965798.23999999987</v>
      </c>
      <c r="H333" s="246">
        <f>G333*0.18</f>
        <v>173843.68319999997</v>
      </c>
      <c r="I333" s="246">
        <f>G333*0.1</f>
        <v>96579.823999999993</v>
      </c>
      <c r="P333" s="268">
        <f>G333+H333</f>
        <v>1139641.9231999998</v>
      </c>
      <c r="Q333" s="268" t="s">
        <v>856</v>
      </c>
      <c r="R333" s="268"/>
      <c r="S333" s="246" t="s">
        <v>839</v>
      </c>
      <c r="U333" s="246" t="s">
        <v>857</v>
      </c>
      <c r="V333" s="268">
        <f>P333-I333</f>
        <v>1043062.0991999998</v>
      </c>
    </row>
    <row r="334" spans="1:25" ht="75" customHeight="1">
      <c r="B334" s="276" t="s">
        <v>787</v>
      </c>
      <c r="C334" s="256" t="s">
        <v>775</v>
      </c>
      <c r="D334" s="284" t="s">
        <v>858</v>
      </c>
      <c r="E334" s="246">
        <v>2023011</v>
      </c>
      <c r="F334" s="274" t="s">
        <v>859</v>
      </c>
      <c r="G334" s="257">
        <f>262586.837348978*0.53</f>
        <v>139171.02379495834</v>
      </c>
      <c r="O334" s="246" t="s">
        <v>820</v>
      </c>
      <c r="S334" s="246" t="s">
        <v>839</v>
      </c>
      <c r="U334" s="246" t="s">
        <v>860</v>
      </c>
    </row>
    <row r="335" spans="1:25" ht="15.75" customHeight="1">
      <c r="A335" s="256" t="s">
        <v>35</v>
      </c>
      <c r="B335" s="256" t="s">
        <v>852</v>
      </c>
      <c r="C335" s="256" t="s">
        <v>853</v>
      </c>
      <c r="E335" s="246">
        <v>2023001</v>
      </c>
      <c r="F335" s="274" t="s">
        <v>653</v>
      </c>
      <c r="G335" s="257">
        <v>75000</v>
      </c>
      <c r="Q335" s="256" t="s">
        <v>861</v>
      </c>
      <c r="R335" s="246" t="s">
        <v>838</v>
      </c>
      <c r="S335" s="246" t="s">
        <v>839</v>
      </c>
      <c r="U335" s="246" t="s">
        <v>844</v>
      </c>
    </row>
    <row r="336" spans="1:25" ht="15.75" customHeight="1">
      <c r="A336" s="256" t="s">
        <v>35</v>
      </c>
      <c r="B336" s="256" t="s">
        <v>852</v>
      </c>
      <c r="C336" s="256" t="s">
        <v>853</v>
      </c>
      <c r="E336" s="285">
        <v>2023001</v>
      </c>
      <c r="F336" s="274" t="s">
        <v>551</v>
      </c>
      <c r="G336" s="257">
        <v>100000</v>
      </c>
      <c r="Q336" s="256" t="s">
        <v>861</v>
      </c>
      <c r="R336" s="246" t="s">
        <v>838</v>
      </c>
      <c r="S336" s="246" t="s">
        <v>839</v>
      </c>
      <c r="U336" s="246" t="s">
        <v>844</v>
      </c>
    </row>
    <row r="337" spans="1:22">
      <c r="B337" s="256" t="s">
        <v>832</v>
      </c>
      <c r="C337" s="256" t="s">
        <v>833</v>
      </c>
      <c r="E337" s="246">
        <v>2023012</v>
      </c>
      <c r="F337" s="266" t="s">
        <v>862</v>
      </c>
      <c r="G337" s="257">
        <v>315000</v>
      </c>
      <c r="R337" s="246" t="s">
        <v>838</v>
      </c>
      <c r="S337" s="256" t="s">
        <v>839</v>
      </c>
      <c r="T337" s="256"/>
      <c r="U337" s="246" t="s">
        <v>863</v>
      </c>
    </row>
    <row r="338" spans="1:22">
      <c r="B338" s="256" t="s">
        <v>832</v>
      </c>
      <c r="C338" s="256" t="s">
        <v>833</v>
      </c>
      <c r="E338" s="246">
        <v>2023012</v>
      </c>
      <c r="F338" s="266" t="s">
        <v>864</v>
      </c>
      <c r="G338" s="257">
        <v>315000</v>
      </c>
      <c r="S338" s="256" t="s">
        <v>839</v>
      </c>
      <c r="T338" s="256"/>
      <c r="U338" s="246" t="s">
        <v>863</v>
      </c>
    </row>
    <row r="339" spans="1:22" ht="14.65" thickBot="1">
      <c r="B339" s="256" t="s">
        <v>835</v>
      </c>
      <c r="C339" s="256" t="s">
        <v>833</v>
      </c>
      <c r="E339" s="246">
        <v>2023012</v>
      </c>
      <c r="F339" s="266" t="s">
        <v>862</v>
      </c>
      <c r="G339" s="257">
        <v>255000</v>
      </c>
      <c r="R339" s="246" t="s">
        <v>838</v>
      </c>
      <c r="S339" s="256" t="s">
        <v>839</v>
      </c>
      <c r="T339" s="256"/>
      <c r="U339" s="246" t="s">
        <v>863</v>
      </c>
    </row>
    <row r="340" spans="1:22" ht="15.75" customHeight="1" thickBot="1">
      <c r="B340" s="256" t="s">
        <v>736</v>
      </c>
      <c r="D340" s="279" t="s">
        <v>865</v>
      </c>
      <c r="E340" s="246">
        <v>2023013</v>
      </c>
      <c r="F340" s="286" t="s">
        <v>866</v>
      </c>
      <c r="G340" s="287">
        <v>80000</v>
      </c>
      <c r="H340" s="246">
        <f>G340*0.18</f>
        <v>14400</v>
      </c>
      <c r="I340" s="246">
        <f>G340*0.075</f>
        <v>6000</v>
      </c>
      <c r="O340" s="246" t="s">
        <v>500</v>
      </c>
      <c r="P340" s="246">
        <f>G340+H340</f>
        <v>94400</v>
      </c>
      <c r="S340" s="246" t="s">
        <v>839</v>
      </c>
      <c r="U340" s="256" t="s">
        <v>867</v>
      </c>
      <c r="V340" s="246">
        <f>G340+H340-I340+N340</f>
        <v>88400</v>
      </c>
    </row>
    <row r="341" spans="1:22" ht="29.25" customHeight="1" thickBot="1">
      <c r="B341" s="256" t="s">
        <v>868</v>
      </c>
      <c r="C341" s="256" t="s">
        <v>869</v>
      </c>
      <c r="E341" s="246">
        <v>2023014</v>
      </c>
      <c r="F341" s="289" t="s">
        <v>870</v>
      </c>
      <c r="G341" s="257">
        <v>300000</v>
      </c>
      <c r="S341" s="256" t="s">
        <v>839</v>
      </c>
      <c r="T341" s="256"/>
      <c r="U341" s="246" t="s">
        <v>871</v>
      </c>
    </row>
    <row r="342" spans="1:22" ht="16.5" customHeight="1" thickBot="1">
      <c r="B342" s="256" t="s">
        <v>774</v>
      </c>
      <c r="C342" s="256" t="s">
        <v>775</v>
      </c>
      <c r="E342" s="246">
        <v>2023016</v>
      </c>
      <c r="F342" s="290" t="s">
        <v>872</v>
      </c>
      <c r="G342" s="257">
        <v>74640.910031249994</v>
      </c>
      <c r="R342" s="246" t="s">
        <v>838</v>
      </c>
      <c r="S342" s="246" t="s">
        <v>839</v>
      </c>
      <c r="U342" s="246" t="s">
        <v>873</v>
      </c>
    </row>
    <row r="343" spans="1:22" ht="32.25" customHeight="1" thickBot="1">
      <c r="A343" s="256" t="s">
        <v>35</v>
      </c>
      <c r="B343" s="256" t="s">
        <v>852</v>
      </c>
      <c r="C343" s="256" t="s">
        <v>853</v>
      </c>
      <c r="E343" s="246">
        <v>2023009</v>
      </c>
      <c r="F343" s="291" t="s">
        <v>874</v>
      </c>
      <c r="G343" s="257">
        <v>100000</v>
      </c>
      <c r="S343" s="246" t="s">
        <v>839</v>
      </c>
      <c r="U343" s="246" t="s">
        <v>875</v>
      </c>
    </row>
    <row r="344" spans="1:22" ht="15.75" customHeight="1" thickBot="1">
      <c r="B344" s="246" t="s">
        <v>692</v>
      </c>
      <c r="C344" s="246" t="s">
        <v>142</v>
      </c>
      <c r="E344" s="246">
        <v>2023017</v>
      </c>
      <c r="F344" s="288" t="s">
        <v>876</v>
      </c>
      <c r="G344" s="257">
        <f>8128590*0.1</f>
        <v>812859</v>
      </c>
      <c r="H344" s="246">
        <f t="shared" ref="H344" si="62">G344*0.18</f>
        <v>146314.62</v>
      </c>
      <c r="I344" s="246">
        <f t="shared" ref="I344" si="63">G344*0.1</f>
        <v>81285.900000000009</v>
      </c>
      <c r="O344" s="246" t="s">
        <v>500</v>
      </c>
      <c r="P344" s="246">
        <f>G344+H344</f>
        <v>959173.62</v>
      </c>
      <c r="S344" s="246" t="s">
        <v>839</v>
      </c>
      <c r="U344" s="246" t="s">
        <v>877</v>
      </c>
      <c r="V344" s="246">
        <f t="shared" ref="V344" si="64">G344+H344-I344+N344</f>
        <v>877887.72</v>
      </c>
    </row>
    <row r="345" spans="1:22">
      <c r="B345" s="256" t="s">
        <v>868</v>
      </c>
      <c r="C345" s="256" t="s">
        <v>869</v>
      </c>
      <c r="E345" s="246">
        <v>2023018</v>
      </c>
      <c r="F345" s="292" t="s">
        <v>551</v>
      </c>
      <c r="G345" s="257">
        <v>300000</v>
      </c>
      <c r="S345" s="256" t="s">
        <v>839</v>
      </c>
      <c r="T345" s="256"/>
      <c r="U345" s="246" t="s">
        <v>878</v>
      </c>
    </row>
    <row r="346" spans="1:22">
      <c r="B346" s="256" t="s">
        <v>832</v>
      </c>
      <c r="C346" s="256" t="s">
        <v>833</v>
      </c>
      <c r="E346" s="246">
        <v>2023019</v>
      </c>
      <c r="F346" s="292" t="s">
        <v>879</v>
      </c>
      <c r="G346" s="257">
        <v>420000</v>
      </c>
      <c r="S346" s="256" t="s">
        <v>839</v>
      </c>
      <c r="T346" s="256"/>
      <c r="U346" s="246" t="s">
        <v>880</v>
      </c>
    </row>
    <row r="347" spans="1:22" ht="15" customHeight="1">
      <c r="B347" s="256" t="s">
        <v>881</v>
      </c>
      <c r="E347" s="246">
        <v>2023020</v>
      </c>
      <c r="F347" s="293" t="s">
        <v>711</v>
      </c>
      <c r="G347" s="294">
        <v>120000</v>
      </c>
      <c r="S347" s="295" t="s">
        <v>839</v>
      </c>
      <c r="T347" s="295"/>
      <c r="U347" s="256" t="s">
        <v>880</v>
      </c>
    </row>
    <row r="348" spans="1:22" ht="15" customHeight="1">
      <c r="B348" s="256" t="s">
        <v>881</v>
      </c>
      <c r="E348" s="246">
        <v>2023020</v>
      </c>
      <c r="F348" s="293" t="s">
        <v>763</v>
      </c>
      <c r="G348" s="294">
        <v>120000</v>
      </c>
      <c r="S348" s="295" t="s">
        <v>839</v>
      </c>
      <c r="T348" s="295"/>
      <c r="U348" s="256" t="s">
        <v>880</v>
      </c>
    </row>
    <row r="349" spans="1:22" ht="15" customHeight="1">
      <c r="B349" s="256" t="s">
        <v>881</v>
      </c>
      <c r="E349" s="246">
        <v>2023020</v>
      </c>
      <c r="F349" s="293" t="s">
        <v>764</v>
      </c>
      <c r="G349" s="294">
        <v>160000</v>
      </c>
      <c r="S349" s="295" t="s">
        <v>839</v>
      </c>
      <c r="T349" s="295"/>
      <c r="U349" s="256" t="s">
        <v>880</v>
      </c>
    </row>
    <row r="350" spans="1:22" ht="15" customHeight="1">
      <c r="B350" s="256" t="s">
        <v>881</v>
      </c>
      <c r="E350" s="246">
        <v>2023020</v>
      </c>
      <c r="F350" s="293" t="s">
        <v>765</v>
      </c>
      <c r="G350" s="294">
        <v>160000</v>
      </c>
      <c r="S350" s="295" t="s">
        <v>839</v>
      </c>
      <c r="T350" s="295"/>
      <c r="U350" s="256" t="s">
        <v>880</v>
      </c>
    </row>
    <row r="351" spans="1:22">
      <c r="A351" s="256" t="s">
        <v>35</v>
      </c>
      <c r="B351" s="256" t="s">
        <v>845</v>
      </c>
      <c r="C351" s="261">
        <v>44896</v>
      </c>
      <c r="E351" s="246">
        <v>2023015</v>
      </c>
      <c r="F351" s="296" t="s">
        <v>882</v>
      </c>
      <c r="G351" s="282">
        <v>50000</v>
      </c>
      <c r="H351" s="246">
        <f>G351*0.18</f>
        <v>9000</v>
      </c>
      <c r="I351" s="246">
        <f>G351*0.075</f>
        <v>3750</v>
      </c>
      <c r="J351" s="246" t="s">
        <v>500</v>
      </c>
      <c r="K351" s="246" t="e">
        <f>B351+C351</f>
        <v>#VALUE!</v>
      </c>
      <c r="M351" s="246" t="e">
        <f>B351+C351-D351+I351</f>
        <v>#VALUE!</v>
      </c>
      <c r="O351" s="246" t="s">
        <v>500</v>
      </c>
      <c r="P351" s="246">
        <f>G351+H351</f>
        <v>59000</v>
      </c>
      <c r="S351" s="246" t="s">
        <v>839</v>
      </c>
      <c r="U351" s="246" t="s">
        <v>873</v>
      </c>
      <c r="V351" s="246">
        <f>G351+H351-I351+N351</f>
        <v>55250</v>
      </c>
    </row>
    <row r="352" spans="1:22">
      <c r="A352" s="256" t="s">
        <v>35</v>
      </c>
      <c r="B352" s="256" t="s">
        <v>845</v>
      </c>
      <c r="C352" s="261">
        <v>44896</v>
      </c>
      <c r="E352" s="246">
        <v>2023015</v>
      </c>
      <c r="F352" s="296" t="s">
        <v>883</v>
      </c>
      <c r="G352" s="282">
        <v>25000</v>
      </c>
      <c r="H352" s="246">
        <f>G352*0.18</f>
        <v>4500</v>
      </c>
      <c r="I352" s="246">
        <f>G352*0.075</f>
        <v>1875</v>
      </c>
      <c r="J352" s="246" t="s">
        <v>500</v>
      </c>
      <c r="K352" s="246" t="e">
        <f>B352+C352</f>
        <v>#VALUE!</v>
      </c>
      <c r="M352" s="246" t="e">
        <f>B352+C352-D352+I352</f>
        <v>#VALUE!</v>
      </c>
      <c r="O352" s="246" t="s">
        <v>500</v>
      </c>
      <c r="P352" s="246">
        <f>G352+H352</f>
        <v>29500</v>
      </c>
      <c r="S352" s="246" t="s">
        <v>839</v>
      </c>
      <c r="U352" s="246" t="s">
        <v>873</v>
      </c>
      <c r="V352" s="246">
        <f>G352+H352-I352+N352</f>
        <v>27625</v>
      </c>
    </row>
    <row r="353" spans="1:25" ht="15" customHeight="1">
      <c r="B353" s="256" t="s">
        <v>881</v>
      </c>
      <c r="E353" s="246">
        <v>2023020</v>
      </c>
      <c r="F353" s="293" t="s">
        <v>766</v>
      </c>
      <c r="G353" s="294">
        <v>80000</v>
      </c>
      <c r="S353" s="295" t="s">
        <v>839</v>
      </c>
      <c r="T353" s="295"/>
      <c r="U353" s="256" t="s">
        <v>880</v>
      </c>
    </row>
    <row r="354" spans="1:25">
      <c r="B354" s="246" t="s">
        <v>710</v>
      </c>
      <c r="E354" s="246">
        <v>2023021</v>
      </c>
      <c r="F354" s="292" t="s">
        <v>698</v>
      </c>
      <c r="G354" s="257">
        <v>700000</v>
      </c>
      <c r="H354" s="246">
        <f>G354*0.18</f>
        <v>126000</v>
      </c>
      <c r="I354" s="246">
        <f>G354*0.1</f>
        <v>70000</v>
      </c>
      <c r="O354" s="246" t="s">
        <v>500</v>
      </c>
      <c r="P354" s="246">
        <f>G354+H354</f>
        <v>826000</v>
      </c>
      <c r="S354" s="246" t="s">
        <v>839</v>
      </c>
      <c r="U354" s="246" t="s">
        <v>884</v>
      </c>
      <c r="V354" s="246">
        <f>G354+H354-I354+N354</f>
        <v>756000</v>
      </c>
    </row>
    <row r="355" spans="1:25" ht="28.5" customHeight="1">
      <c r="B355" s="256" t="s">
        <v>868</v>
      </c>
      <c r="C355" s="256" t="s">
        <v>869</v>
      </c>
      <c r="E355" s="246">
        <v>2023022</v>
      </c>
      <c r="F355" s="292" t="s">
        <v>885</v>
      </c>
      <c r="G355" s="257">
        <v>450000</v>
      </c>
      <c r="S355" s="256" t="s">
        <v>839</v>
      </c>
      <c r="T355" s="256"/>
      <c r="U355" s="246" t="s">
        <v>886</v>
      </c>
    </row>
    <row r="356" spans="1:25">
      <c r="B356" s="256" t="s">
        <v>868</v>
      </c>
      <c r="C356" s="256" t="s">
        <v>869</v>
      </c>
      <c r="E356" s="246">
        <v>2023023</v>
      </c>
      <c r="F356" s="292" t="s">
        <v>571</v>
      </c>
      <c r="G356" s="257">
        <v>250000</v>
      </c>
      <c r="R356" s="246" t="s">
        <v>887</v>
      </c>
      <c r="S356" s="256" t="s">
        <v>839</v>
      </c>
      <c r="T356" s="256"/>
      <c r="U356" s="246" t="s">
        <v>888</v>
      </c>
    </row>
    <row r="357" spans="1:25" ht="28.5" customHeight="1" thickBot="1">
      <c r="B357" s="246" t="s">
        <v>889</v>
      </c>
      <c r="E357" s="246">
        <v>2023024</v>
      </c>
      <c r="F357" s="292" t="s">
        <v>890</v>
      </c>
      <c r="G357" s="294">
        <v>240603</v>
      </c>
      <c r="R357" s="246" t="s">
        <v>891</v>
      </c>
      <c r="S357" s="295" t="s">
        <v>839</v>
      </c>
      <c r="T357" s="295"/>
      <c r="U357" s="256" t="s">
        <v>892</v>
      </c>
    </row>
    <row r="358" spans="1:25" ht="29.25" customHeight="1" thickBot="1">
      <c r="B358" s="246" t="s">
        <v>889</v>
      </c>
      <c r="E358" s="246">
        <v>2023024</v>
      </c>
      <c r="F358" s="297" t="s">
        <v>893</v>
      </c>
      <c r="G358" s="294">
        <v>160402</v>
      </c>
      <c r="R358" s="246" t="s">
        <v>891</v>
      </c>
      <c r="S358" s="295" t="s">
        <v>839</v>
      </c>
      <c r="T358" s="295"/>
      <c r="U358" s="256" t="s">
        <v>892</v>
      </c>
    </row>
    <row r="359" spans="1:25" ht="15.75" customHeight="1" thickBot="1">
      <c r="B359" s="246" t="s">
        <v>692</v>
      </c>
      <c r="C359" s="246" t="s">
        <v>142</v>
      </c>
      <c r="E359" s="246">
        <v>2023025</v>
      </c>
      <c r="F359" s="288" t="s">
        <v>894</v>
      </c>
      <c r="G359" s="257">
        <f>(8128590*0.15)/2</f>
        <v>609644.25</v>
      </c>
      <c r="H359" s="246">
        <f t="shared" ref="H359" si="65">G359*0.18</f>
        <v>109735.965</v>
      </c>
      <c r="I359" s="246">
        <f t="shared" ref="I359" si="66">G359*0.1</f>
        <v>60964.425000000003</v>
      </c>
      <c r="O359" s="246" t="s">
        <v>500</v>
      </c>
      <c r="P359" s="246">
        <f t="shared" ref="P359" si="67">G359+H359</f>
        <v>719380.21499999997</v>
      </c>
      <c r="R359" s="246" t="s">
        <v>891</v>
      </c>
      <c r="S359" s="246" t="s">
        <v>839</v>
      </c>
      <c r="U359" s="246" t="s">
        <v>895</v>
      </c>
      <c r="V359" s="246">
        <f t="shared" ref="V359" si="68">G359+H359-I359+N359</f>
        <v>658415.78999999992</v>
      </c>
    </row>
    <row r="360" spans="1:25" ht="75.75" customHeight="1" thickBot="1">
      <c r="B360" s="276" t="s">
        <v>787</v>
      </c>
      <c r="C360" s="256" t="s">
        <v>775</v>
      </c>
      <c r="E360" s="246">
        <v>2023026</v>
      </c>
      <c r="F360" s="291" t="s">
        <v>897</v>
      </c>
      <c r="G360" s="257">
        <f>196940.128011733*0.53</f>
        <v>104378.2678462185</v>
      </c>
      <c r="J360" s="298" t="s">
        <v>891</v>
      </c>
      <c r="K360" s="246" t="s">
        <v>839</v>
      </c>
      <c r="R360" s="298" t="s">
        <v>891</v>
      </c>
      <c r="S360" s="246" t="s">
        <v>839</v>
      </c>
      <c r="U360" s="246" t="s">
        <v>898</v>
      </c>
    </row>
    <row r="361" spans="1:25" ht="75.75" customHeight="1" thickBot="1">
      <c r="B361" s="276" t="s">
        <v>787</v>
      </c>
      <c r="C361" s="256" t="s">
        <v>775</v>
      </c>
      <c r="E361" s="246">
        <v>2023026</v>
      </c>
      <c r="F361" s="291" t="s">
        <v>899</v>
      </c>
      <c r="G361" s="257">
        <f>98470.0640058666*0.53</f>
        <v>52189.133923109301</v>
      </c>
      <c r="J361" s="298" t="s">
        <v>891</v>
      </c>
      <c r="K361" s="246" t="s">
        <v>839</v>
      </c>
      <c r="R361" s="298" t="s">
        <v>891</v>
      </c>
      <c r="S361" s="246" t="s">
        <v>839</v>
      </c>
      <c r="U361" s="246" t="s">
        <v>898</v>
      </c>
    </row>
    <row r="362" spans="1:25" ht="75" customHeight="1">
      <c r="B362" s="276" t="s">
        <v>787</v>
      </c>
      <c r="C362" s="256" t="s">
        <v>775</v>
      </c>
      <c r="E362" s="246">
        <v>2023026</v>
      </c>
      <c r="F362" s="274" t="s">
        <v>900</v>
      </c>
      <c r="G362" s="257">
        <f>98470.0640058666*0.53</f>
        <v>52189.133923109301</v>
      </c>
      <c r="R362" s="298" t="s">
        <v>891</v>
      </c>
      <c r="S362" s="246" t="s">
        <v>839</v>
      </c>
      <c r="U362" s="246" t="s">
        <v>898</v>
      </c>
    </row>
    <row r="363" spans="1:25" ht="15" customHeight="1">
      <c r="B363" s="246" t="s">
        <v>901</v>
      </c>
      <c r="E363" s="246">
        <v>2023027</v>
      </c>
      <c r="F363" s="299" t="s">
        <v>618</v>
      </c>
      <c r="G363" s="294">
        <v>436397</v>
      </c>
      <c r="S363" s="295" t="s">
        <v>839</v>
      </c>
      <c r="T363" s="295"/>
      <c r="U363" s="246" t="s">
        <v>902</v>
      </c>
    </row>
    <row r="364" spans="1:25" ht="15.75" customHeight="1">
      <c r="B364" s="256" t="s">
        <v>903</v>
      </c>
      <c r="C364" s="256" t="s">
        <v>904</v>
      </c>
      <c r="E364" s="246">
        <v>2023028</v>
      </c>
      <c r="F364" s="270" t="s">
        <v>618</v>
      </c>
      <c r="G364" s="300">
        <v>112500</v>
      </c>
      <c r="S364" s="246" t="s">
        <v>839</v>
      </c>
      <c r="U364" s="256" t="s">
        <v>905</v>
      </c>
      <c r="Y364" s="246" t="s">
        <v>906</v>
      </c>
    </row>
    <row r="365" spans="1:25" ht="15.75" customHeight="1">
      <c r="B365" s="246" t="s">
        <v>903</v>
      </c>
      <c r="C365" s="246" t="s">
        <v>904</v>
      </c>
      <c r="E365" s="246">
        <v>2023028</v>
      </c>
      <c r="F365" s="270" t="s">
        <v>751</v>
      </c>
      <c r="G365" s="300">
        <v>112500</v>
      </c>
      <c r="S365" s="246" t="s">
        <v>839</v>
      </c>
      <c r="U365" s="256" t="s">
        <v>905</v>
      </c>
      <c r="Y365" s="246" t="s">
        <v>906</v>
      </c>
    </row>
    <row r="366" spans="1:25">
      <c r="A366" s="246" t="s">
        <v>807</v>
      </c>
      <c r="B366" s="256" t="s">
        <v>808</v>
      </c>
      <c r="F366" s="269" t="s">
        <v>598</v>
      </c>
      <c r="G366" s="257">
        <v>280000</v>
      </c>
      <c r="H366" s="246">
        <f>G366*0.18</f>
        <v>50400</v>
      </c>
      <c r="I366" s="246">
        <f>G366*0.075</f>
        <v>21000</v>
      </c>
      <c r="O366" s="246" t="s">
        <v>500</v>
      </c>
      <c r="P366" s="246">
        <f>G366+H366</f>
        <v>330400</v>
      </c>
      <c r="V366" s="246">
        <f>G366+H366-I366+N366</f>
        <v>309400</v>
      </c>
    </row>
    <row r="367" spans="1:25" ht="14.65" thickBot="1">
      <c r="A367" s="246" t="s">
        <v>807</v>
      </c>
      <c r="B367" s="256" t="s">
        <v>808</v>
      </c>
      <c r="F367" s="301" t="s">
        <v>600</v>
      </c>
      <c r="G367" s="257">
        <v>140000</v>
      </c>
      <c r="H367" s="246">
        <f>G367*0.18</f>
        <v>25200</v>
      </c>
      <c r="I367" s="246">
        <f>G367*0.075</f>
        <v>10500</v>
      </c>
      <c r="O367" s="246" t="s">
        <v>500</v>
      </c>
      <c r="P367" s="246">
        <f>G367+H367</f>
        <v>165200</v>
      </c>
      <c r="V367" s="246">
        <f>G367+H367-I367+N367</f>
        <v>154700</v>
      </c>
    </row>
    <row r="368" spans="1:25">
      <c r="A368" s="246" t="s">
        <v>807</v>
      </c>
      <c r="B368" s="256" t="s">
        <v>808</v>
      </c>
      <c r="F368" s="302" t="s">
        <v>907</v>
      </c>
      <c r="G368" s="257">
        <v>140000</v>
      </c>
      <c r="H368" s="246">
        <f>G368*0.18</f>
        <v>25200</v>
      </c>
      <c r="I368" s="246">
        <f>G368*0.075</f>
        <v>10500</v>
      </c>
      <c r="O368" s="246" t="s">
        <v>500</v>
      </c>
      <c r="P368" s="246">
        <f>G368+H368</f>
        <v>165200</v>
      </c>
      <c r="V368" s="246">
        <f>G368+H368-I368+N368</f>
        <v>154700</v>
      </c>
    </row>
    <row r="369" spans="1:29" ht="15.75" customHeight="1">
      <c r="B369" s="246" t="s">
        <v>903</v>
      </c>
      <c r="C369" s="246" t="s">
        <v>904</v>
      </c>
      <c r="E369" s="246">
        <v>2023028</v>
      </c>
      <c r="F369" s="303" t="s">
        <v>760</v>
      </c>
      <c r="G369" s="300">
        <v>112500</v>
      </c>
      <c r="S369" s="246" t="s">
        <v>839</v>
      </c>
      <c r="U369" s="256" t="s">
        <v>905</v>
      </c>
      <c r="Y369" s="246" t="s">
        <v>906</v>
      </c>
    </row>
    <row r="370" spans="1:29" ht="15.75" customHeight="1">
      <c r="B370" s="246" t="s">
        <v>903</v>
      </c>
      <c r="C370" s="246" t="s">
        <v>904</v>
      </c>
      <c r="E370" s="246">
        <v>2023028</v>
      </c>
      <c r="F370" s="303" t="s">
        <v>761</v>
      </c>
      <c r="G370" s="300">
        <v>150000</v>
      </c>
      <c r="S370" s="246" t="s">
        <v>839</v>
      </c>
      <c r="U370" s="256" t="s">
        <v>905</v>
      </c>
      <c r="Y370" s="246" t="s">
        <v>906</v>
      </c>
    </row>
    <row r="371" spans="1:29" ht="15.75" customHeight="1">
      <c r="B371" s="246" t="s">
        <v>903</v>
      </c>
      <c r="C371" s="246" t="s">
        <v>904</v>
      </c>
      <c r="E371" s="246">
        <v>2023028</v>
      </c>
      <c r="F371" s="303" t="s">
        <v>830</v>
      </c>
      <c r="G371" s="300">
        <v>112500</v>
      </c>
      <c r="S371" s="246" t="s">
        <v>839</v>
      </c>
      <c r="U371" s="256" t="s">
        <v>905</v>
      </c>
      <c r="Y371" s="246" t="s">
        <v>906</v>
      </c>
    </row>
    <row r="372" spans="1:29" ht="30" customHeight="1">
      <c r="B372" s="246" t="s">
        <v>901</v>
      </c>
      <c r="E372" s="246">
        <v>2023029</v>
      </c>
      <c r="F372" s="304" t="s">
        <v>908</v>
      </c>
      <c r="G372" s="294">
        <v>436397</v>
      </c>
      <c r="R372" s="246" t="s">
        <v>909</v>
      </c>
      <c r="S372" s="295" t="s">
        <v>839</v>
      </c>
      <c r="T372" s="295"/>
      <c r="U372" s="246" t="s">
        <v>910</v>
      </c>
    </row>
    <row r="373" spans="1:29" ht="30" customHeight="1">
      <c r="B373" s="246" t="s">
        <v>901</v>
      </c>
      <c r="E373" s="246">
        <v>2023029</v>
      </c>
      <c r="F373" s="304" t="s">
        <v>911</v>
      </c>
      <c r="G373" s="294">
        <v>872794</v>
      </c>
      <c r="R373" s="246" t="s">
        <v>909</v>
      </c>
      <c r="S373" s="295" t="s">
        <v>839</v>
      </c>
      <c r="T373" s="295"/>
      <c r="U373" s="246" t="s">
        <v>910</v>
      </c>
    </row>
    <row r="374" spans="1:29" ht="15" customHeight="1">
      <c r="B374" s="256" t="s">
        <v>881</v>
      </c>
      <c r="E374" s="246">
        <v>2023030</v>
      </c>
      <c r="F374" s="304" t="s">
        <v>767</v>
      </c>
      <c r="G374" s="294">
        <v>80000</v>
      </c>
      <c r="R374" s="246" t="s">
        <v>912</v>
      </c>
      <c r="S374" s="246" t="s">
        <v>839</v>
      </c>
      <c r="U374" s="246" t="s">
        <v>913</v>
      </c>
    </row>
    <row r="375" spans="1:29" ht="30" customHeight="1">
      <c r="B375" s="256" t="s">
        <v>881</v>
      </c>
      <c r="E375" s="246">
        <v>2023030</v>
      </c>
      <c r="F375" s="304" t="s">
        <v>770</v>
      </c>
      <c r="G375" s="294">
        <v>40000</v>
      </c>
      <c r="R375" s="246" t="s">
        <v>912</v>
      </c>
      <c r="S375" s="246" t="s">
        <v>839</v>
      </c>
      <c r="U375" s="246" t="s">
        <v>913</v>
      </c>
    </row>
    <row r="376" spans="1:29">
      <c r="B376" s="256" t="s">
        <v>914</v>
      </c>
      <c r="E376" s="246">
        <v>2023032</v>
      </c>
      <c r="F376" s="305" t="s">
        <v>915</v>
      </c>
      <c r="G376" s="257">
        <v>175000</v>
      </c>
      <c r="R376" s="298" t="s">
        <v>912</v>
      </c>
      <c r="S376" s="246" t="s">
        <v>839</v>
      </c>
      <c r="U376" s="246" t="s">
        <v>916</v>
      </c>
    </row>
    <row r="377" spans="1:29">
      <c r="A377" s="246" t="s">
        <v>35</v>
      </c>
      <c r="B377" s="246" t="s">
        <v>672</v>
      </c>
      <c r="E377" s="246" t="s">
        <v>917</v>
      </c>
      <c r="F377" s="305" t="s">
        <v>918</v>
      </c>
      <c r="G377" s="257">
        <v>450000</v>
      </c>
      <c r="H377" s="246">
        <f>(G377*0.14)</f>
        <v>63000.000000000007</v>
      </c>
      <c r="I377" s="246">
        <f t="shared" ref="I377:I390" si="69">G377*0.1</f>
        <v>45000</v>
      </c>
      <c r="L377" s="246">
        <f>G377*0.005</f>
        <v>2250</v>
      </c>
      <c r="M377" s="246">
        <f>G377*0.005</f>
        <v>2250</v>
      </c>
      <c r="N377" s="246">
        <v>0</v>
      </c>
      <c r="O377" s="246" t="s">
        <v>357</v>
      </c>
      <c r="P377" s="246">
        <v>517500</v>
      </c>
      <c r="U377" s="246" t="s">
        <v>919</v>
      </c>
      <c r="V377" s="246">
        <f>G377+H377-I377+L377+M377+N377</f>
        <v>472500</v>
      </c>
      <c r="W377" s="246">
        <v>472050</v>
      </c>
      <c r="Y377" s="246" t="s">
        <v>920</v>
      </c>
      <c r="Z377" s="246">
        <f>V377-W377</f>
        <v>450</v>
      </c>
      <c r="AC377" s="246" t="s">
        <v>95</v>
      </c>
    </row>
    <row r="378" spans="1:29">
      <c r="A378" s="246" t="s">
        <v>35</v>
      </c>
      <c r="B378" s="246" t="s">
        <v>553</v>
      </c>
      <c r="C378" s="246" t="s">
        <v>45</v>
      </c>
      <c r="E378" s="306" t="s">
        <v>921</v>
      </c>
      <c r="F378" s="307" t="s">
        <v>922</v>
      </c>
      <c r="G378" s="257">
        <v>247500</v>
      </c>
      <c r="H378" s="246">
        <f t="shared" ref="H378:H384" si="70">G378*0.18</f>
        <v>44550</v>
      </c>
      <c r="I378" s="246">
        <f t="shared" si="69"/>
        <v>24750</v>
      </c>
      <c r="O378" s="246" t="s">
        <v>500</v>
      </c>
      <c r="U378" s="256" t="s">
        <v>923</v>
      </c>
      <c r="V378" s="246">
        <f t="shared" ref="V378:V384" si="71">G378+H378-I378+N378</f>
        <v>267300</v>
      </c>
      <c r="W378" s="246">
        <f t="shared" ref="W378:W384" si="72">V378</f>
        <v>267300</v>
      </c>
      <c r="Y378" s="256" t="s">
        <v>924</v>
      </c>
    </row>
    <row r="379" spans="1:29" ht="30" customHeight="1" thickBot="1">
      <c r="A379" s="246" t="s">
        <v>35</v>
      </c>
      <c r="B379" s="246" t="s">
        <v>553</v>
      </c>
      <c r="C379" s="246" t="s">
        <v>45</v>
      </c>
      <c r="E379" s="306" t="s">
        <v>921</v>
      </c>
      <c r="F379" s="308" t="s">
        <v>925</v>
      </c>
      <c r="G379" s="257">
        <v>82500</v>
      </c>
      <c r="H379" s="246">
        <f t="shared" si="70"/>
        <v>14850</v>
      </c>
      <c r="I379" s="246">
        <f t="shared" si="69"/>
        <v>8250</v>
      </c>
      <c r="O379" s="246" t="s">
        <v>500</v>
      </c>
      <c r="U379" s="256" t="s">
        <v>923</v>
      </c>
      <c r="V379" s="246">
        <f t="shared" si="71"/>
        <v>89100</v>
      </c>
      <c r="W379" s="246">
        <f t="shared" si="72"/>
        <v>89100</v>
      </c>
      <c r="Y379" s="256" t="s">
        <v>924</v>
      </c>
    </row>
    <row r="380" spans="1:29" ht="30" customHeight="1">
      <c r="A380" s="246" t="s">
        <v>35</v>
      </c>
      <c r="B380" s="246" t="s">
        <v>553</v>
      </c>
      <c r="C380" s="246" t="s">
        <v>45</v>
      </c>
      <c r="E380" s="306" t="s">
        <v>921</v>
      </c>
      <c r="F380" s="309" t="s">
        <v>926</v>
      </c>
      <c r="G380" s="310">
        <v>500000</v>
      </c>
      <c r="H380" s="246">
        <f t="shared" si="70"/>
        <v>90000</v>
      </c>
      <c r="I380" s="246">
        <f t="shared" si="69"/>
        <v>50000</v>
      </c>
      <c r="O380" s="246" t="s">
        <v>500</v>
      </c>
      <c r="U380" s="256" t="s">
        <v>923</v>
      </c>
      <c r="V380" s="246">
        <f t="shared" si="71"/>
        <v>540000</v>
      </c>
      <c r="W380" s="246">
        <f t="shared" si="72"/>
        <v>540000</v>
      </c>
      <c r="Y380" s="256" t="s">
        <v>924</v>
      </c>
    </row>
    <row r="381" spans="1:29" ht="30" customHeight="1">
      <c r="A381" s="246" t="s">
        <v>35</v>
      </c>
      <c r="B381" s="246" t="s">
        <v>553</v>
      </c>
      <c r="C381" s="246" t="s">
        <v>45</v>
      </c>
      <c r="E381" s="306" t="s">
        <v>921</v>
      </c>
      <c r="F381" s="311" t="s">
        <v>927</v>
      </c>
      <c r="G381" s="310">
        <v>330000</v>
      </c>
      <c r="H381" s="246">
        <f t="shared" si="70"/>
        <v>59400</v>
      </c>
      <c r="I381" s="246">
        <f t="shared" si="69"/>
        <v>33000</v>
      </c>
      <c r="O381" s="246" t="s">
        <v>500</v>
      </c>
      <c r="U381" s="256" t="s">
        <v>923</v>
      </c>
      <c r="V381" s="246">
        <f t="shared" si="71"/>
        <v>356400</v>
      </c>
      <c r="W381" s="246">
        <f t="shared" si="72"/>
        <v>356400</v>
      </c>
      <c r="Y381" s="256" t="s">
        <v>924</v>
      </c>
    </row>
    <row r="382" spans="1:29" ht="30" customHeight="1">
      <c r="A382" s="246" t="s">
        <v>35</v>
      </c>
      <c r="B382" s="246" t="s">
        <v>553</v>
      </c>
      <c r="C382" s="246" t="s">
        <v>45</v>
      </c>
      <c r="E382" s="306" t="s">
        <v>921</v>
      </c>
      <c r="F382" s="307" t="s">
        <v>928</v>
      </c>
      <c r="G382" s="257">
        <v>250000</v>
      </c>
      <c r="H382" s="246">
        <f t="shared" si="70"/>
        <v>45000</v>
      </c>
      <c r="I382" s="246">
        <f t="shared" si="69"/>
        <v>25000</v>
      </c>
      <c r="O382" s="246" t="s">
        <v>500</v>
      </c>
      <c r="U382" s="256" t="s">
        <v>923</v>
      </c>
      <c r="V382" s="246">
        <f t="shared" si="71"/>
        <v>270000</v>
      </c>
      <c r="W382" s="246">
        <f t="shared" si="72"/>
        <v>270000</v>
      </c>
      <c r="Y382" s="256" t="s">
        <v>924</v>
      </c>
    </row>
    <row r="383" spans="1:29">
      <c r="A383" s="246" t="s">
        <v>35</v>
      </c>
      <c r="B383" s="246" t="s">
        <v>553</v>
      </c>
      <c r="C383" s="246" t="s">
        <v>45</v>
      </c>
      <c r="E383" s="306" t="s">
        <v>921</v>
      </c>
      <c r="F383" s="307" t="s">
        <v>929</v>
      </c>
      <c r="G383" s="257">
        <v>165000</v>
      </c>
      <c r="H383" s="246">
        <f t="shared" si="70"/>
        <v>29700</v>
      </c>
      <c r="I383" s="246">
        <f t="shared" si="69"/>
        <v>16500</v>
      </c>
      <c r="O383" s="246" t="s">
        <v>500</v>
      </c>
      <c r="U383" s="256" t="s">
        <v>923</v>
      </c>
      <c r="V383" s="246">
        <f t="shared" si="71"/>
        <v>178200</v>
      </c>
      <c r="W383" s="246">
        <f t="shared" si="72"/>
        <v>178200</v>
      </c>
      <c r="Y383" s="256" t="s">
        <v>924</v>
      </c>
    </row>
    <row r="384" spans="1:29" ht="30" customHeight="1">
      <c r="A384" s="246" t="s">
        <v>35</v>
      </c>
      <c r="B384" s="246" t="s">
        <v>553</v>
      </c>
      <c r="C384" s="246" t="s">
        <v>45</v>
      </c>
      <c r="E384" s="306" t="s">
        <v>921</v>
      </c>
      <c r="F384" s="307" t="s">
        <v>930</v>
      </c>
      <c r="G384" s="257">
        <v>125000</v>
      </c>
      <c r="H384" s="246">
        <f t="shared" si="70"/>
        <v>22500</v>
      </c>
      <c r="I384" s="246">
        <f t="shared" si="69"/>
        <v>12500</v>
      </c>
      <c r="O384" s="246" t="s">
        <v>500</v>
      </c>
      <c r="U384" s="256" t="s">
        <v>923</v>
      </c>
      <c r="V384" s="246">
        <f t="shared" si="71"/>
        <v>135000</v>
      </c>
      <c r="W384" s="246">
        <f t="shared" si="72"/>
        <v>135000</v>
      </c>
      <c r="Y384" s="256" t="s">
        <v>924</v>
      </c>
    </row>
    <row r="385" spans="1:30" ht="75" customHeight="1">
      <c r="A385" s="246" t="s">
        <v>35</v>
      </c>
      <c r="B385" s="246" t="s">
        <v>553</v>
      </c>
      <c r="C385" s="246" t="s">
        <v>45</v>
      </c>
      <c r="E385" s="312" t="s">
        <v>931</v>
      </c>
      <c r="F385" s="307" t="s">
        <v>932</v>
      </c>
      <c r="G385" s="257">
        <v>550000</v>
      </c>
      <c r="H385" s="246">
        <f>G385*0.1236</f>
        <v>67980</v>
      </c>
      <c r="I385" s="246">
        <f t="shared" si="69"/>
        <v>55000</v>
      </c>
      <c r="L385" s="246">
        <v>0</v>
      </c>
      <c r="M385" s="246">
        <v>0</v>
      </c>
      <c r="N385" s="246">
        <v>0</v>
      </c>
      <c r="O385" s="246" t="s">
        <v>51</v>
      </c>
      <c r="P385" s="246">
        <v>617980</v>
      </c>
      <c r="U385" s="246" t="s">
        <v>933</v>
      </c>
      <c r="V385" s="246">
        <f t="shared" ref="V385:V390" si="73">G385+H385-I385+L385+M385+N385</f>
        <v>562980</v>
      </c>
      <c r="W385" s="246">
        <v>556182</v>
      </c>
      <c r="Y385" s="246" t="s">
        <v>934</v>
      </c>
      <c r="AD385" s="246" t="s">
        <v>338</v>
      </c>
    </row>
    <row r="386" spans="1:30" ht="30" customHeight="1">
      <c r="A386" s="256" t="s">
        <v>35</v>
      </c>
      <c r="B386" s="246" t="s">
        <v>553</v>
      </c>
      <c r="C386" s="246" t="s">
        <v>45</v>
      </c>
      <c r="E386" s="246" t="s">
        <v>935</v>
      </c>
      <c r="F386" s="307" t="s">
        <v>936</v>
      </c>
      <c r="G386" s="246">
        <v>336810</v>
      </c>
      <c r="H386" s="246">
        <f>G386*0.1236</f>
        <v>41629.716</v>
      </c>
      <c r="I386" s="246">
        <f t="shared" si="69"/>
        <v>33681</v>
      </c>
      <c r="L386" s="246">
        <v>0</v>
      </c>
      <c r="M386" s="246">
        <v>0</v>
      </c>
      <c r="N386" s="246">
        <v>0</v>
      </c>
      <c r="O386" s="246" t="s">
        <v>51</v>
      </c>
      <c r="P386" s="246">
        <v>378440</v>
      </c>
      <c r="U386" s="246" t="s">
        <v>937</v>
      </c>
      <c r="V386" s="246">
        <f t="shared" si="73"/>
        <v>344758.71600000001</v>
      </c>
      <c r="W386" s="246">
        <v>652250</v>
      </c>
      <c r="Y386" s="246" t="s">
        <v>938</v>
      </c>
      <c r="AD386" s="246" t="s">
        <v>338</v>
      </c>
    </row>
    <row r="387" spans="1:30" ht="30" customHeight="1">
      <c r="A387" s="256" t="s">
        <v>35</v>
      </c>
      <c r="B387" s="246" t="s">
        <v>553</v>
      </c>
      <c r="C387" s="246" t="s">
        <v>45</v>
      </c>
      <c r="E387" s="312" t="s">
        <v>939</v>
      </c>
      <c r="F387" s="307" t="s">
        <v>940</v>
      </c>
      <c r="G387" s="246">
        <v>236691</v>
      </c>
      <c r="H387" s="246">
        <f>G387*0.1236</f>
        <v>29255.007600000001</v>
      </c>
      <c r="I387" s="246">
        <f t="shared" si="69"/>
        <v>23669.100000000002</v>
      </c>
      <c r="O387" s="246" t="s">
        <v>51</v>
      </c>
      <c r="P387" s="246">
        <v>265946</v>
      </c>
      <c r="U387" s="246" t="s">
        <v>937</v>
      </c>
      <c r="V387" s="246">
        <f t="shared" si="73"/>
        <v>242276.90760000001</v>
      </c>
      <c r="W387" s="246" t="s">
        <v>941</v>
      </c>
      <c r="Y387" s="246" t="s">
        <v>938</v>
      </c>
      <c r="AD387" s="246" t="s">
        <v>338</v>
      </c>
    </row>
    <row r="388" spans="1:30" ht="30" customHeight="1">
      <c r="A388" s="256" t="s">
        <v>35</v>
      </c>
      <c r="B388" s="246" t="s">
        <v>553</v>
      </c>
      <c r="C388" s="246" t="s">
        <v>45</v>
      </c>
      <c r="E388" s="312" t="s">
        <v>939</v>
      </c>
      <c r="F388" s="307" t="s">
        <v>942</v>
      </c>
      <c r="G388" s="246">
        <v>71479</v>
      </c>
      <c r="H388" s="246">
        <v>8837</v>
      </c>
      <c r="I388" s="246">
        <f t="shared" si="69"/>
        <v>7147.9000000000005</v>
      </c>
      <c r="O388" s="246" t="s">
        <v>51</v>
      </c>
      <c r="P388" s="246">
        <v>80334</v>
      </c>
      <c r="U388" s="246" t="s">
        <v>937</v>
      </c>
      <c r="V388" s="246">
        <f t="shared" si="73"/>
        <v>73168.100000000006</v>
      </c>
      <c r="W388" s="246" t="s">
        <v>941</v>
      </c>
      <c r="Y388" s="246" t="s">
        <v>938</v>
      </c>
      <c r="AD388" s="246" t="s">
        <v>338</v>
      </c>
    </row>
    <row r="389" spans="1:30" ht="30" customHeight="1">
      <c r="A389" s="256" t="s">
        <v>35</v>
      </c>
      <c r="B389" s="246" t="s">
        <v>553</v>
      </c>
      <c r="C389" s="246" t="s">
        <v>45</v>
      </c>
      <c r="E389" s="313" t="s">
        <v>943</v>
      </c>
      <c r="F389" s="307" t="s">
        <v>944</v>
      </c>
      <c r="G389" s="246">
        <v>180000</v>
      </c>
      <c r="H389" s="246">
        <f>G389*0.1236</f>
        <v>22248</v>
      </c>
      <c r="I389" s="246">
        <f t="shared" si="69"/>
        <v>18000</v>
      </c>
      <c r="L389" s="246">
        <v>0</v>
      </c>
      <c r="M389" s="246">
        <v>0</v>
      </c>
      <c r="N389" s="246">
        <v>0</v>
      </c>
      <c r="O389" s="246" t="s">
        <v>51</v>
      </c>
      <c r="P389" s="246">
        <v>202248</v>
      </c>
      <c r="U389" s="246" t="s">
        <v>945</v>
      </c>
      <c r="V389" s="246">
        <f t="shared" si="73"/>
        <v>184248</v>
      </c>
      <c r="W389" s="246">
        <v>834273</v>
      </c>
      <c r="Y389" s="246" t="s">
        <v>946</v>
      </c>
      <c r="AD389" s="246" t="s">
        <v>338</v>
      </c>
    </row>
    <row r="390" spans="1:30" ht="14.65" thickBot="1">
      <c r="A390" s="256" t="s">
        <v>35</v>
      </c>
      <c r="B390" s="246" t="s">
        <v>553</v>
      </c>
      <c r="C390" s="246" t="s">
        <v>45</v>
      </c>
      <c r="E390" s="246" t="s">
        <v>947</v>
      </c>
      <c r="F390" s="308" t="s">
        <v>948</v>
      </c>
      <c r="G390" s="246">
        <v>645000</v>
      </c>
      <c r="H390" s="246">
        <f>G390*0.1236</f>
        <v>79722</v>
      </c>
      <c r="I390" s="246">
        <f t="shared" si="69"/>
        <v>64500</v>
      </c>
      <c r="L390" s="246">
        <v>0</v>
      </c>
      <c r="M390" s="246">
        <v>0</v>
      </c>
      <c r="N390" s="246">
        <v>0</v>
      </c>
      <c r="O390" s="246" t="s">
        <v>51</v>
      </c>
      <c r="P390" s="246">
        <v>724722</v>
      </c>
      <c r="U390" s="246" t="s">
        <v>945</v>
      </c>
      <c r="V390" s="246">
        <f t="shared" si="73"/>
        <v>660222</v>
      </c>
      <c r="W390" s="246" t="s">
        <v>949</v>
      </c>
      <c r="Y390" s="246" t="s">
        <v>946</v>
      </c>
      <c r="AD390" s="246" t="s">
        <v>338</v>
      </c>
    </row>
    <row r="391" spans="1:30" ht="15" customHeight="1">
      <c r="B391" s="246" t="s">
        <v>901</v>
      </c>
      <c r="E391" s="246">
        <v>2023033</v>
      </c>
      <c r="F391" s="314" t="s">
        <v>551</v>
      </c>
      <c r="G391" s="315">
        <v>1309242</v>
      </c>
      <c r="R391" s="246" t="s">
        <v>909</v>
      </c>
      <c r="S391" s="295" t="s">
        <v>839</v>
      </c>
      <c r="T391" s="295"/>
      <c r="U391" s="246" t="s">
        <v>950</v>
      </c>
    </row>
    <row r="392" spans="1:30">
      <c r="A392" s="246" t="s">
        <v>35</v>
      </c>
      <c r="B392" s="246" t="s">
        <v>36</v>
      </c>
      <c r="E392" s="316" t="s">
        <v>951</v>
      </c>
      <c r="F392" s="305" t="s">
        <v>952</v>
      </c>
      <c r="G392" s="257">
        <v>470000</v>
      </c>
      <c r="H392" s="246">
        <f>G392*0.103</f>
        <v>48410</v>
      </c>
      <c r="I392" s="246">
        <f t="shared" ref="I392:I397" si="74">G392*0.1</f>
        <v>47000</v>
      </c>
      <c r="L392" s="246">
        <v>0</v>
      </c>
      <c r="M392" s="246">
        <v>0</v>
      </c>
      <c r="N392" s="246">
        <v>0</v>
      </c>
      <c r="O392" s="246" t="s">
        <v>953</v>
      </c>
      <c r="P392" s="246">
        <v>518410</v>
      </c>
      <c r="U392" s="246" t="s">
        <v>954</v>
      </c>
      <c r="V392" s="246">
        <f>G392+H392-I392</f>
        <v>471410</v>
      </c>
      <c r="W392" s="246">
        <v>423000</v>
      </c>
      <c r="Y392" s="246" t="s">
        <v>955</v>
      </c>
      <c r="Z392" s="246">
        <f>V392-W392</f>
        <v>48410</v>
      </c>
    </row>
    <row r="393" spans="1:30" ht="60" customHeight="1">
      <c r="A393" s="246" t="s">
        <v>35</v>
      </c>
      <c r="B393" s="246" t="s">
        <v>956</v>
      </c>
      <c r="E393" s="246" t="s">
        <v>957</v>
      </c>
      <c r="F393" s="307" t="s">
        <v>958</v>
      </c>
      <c r="G393" s="257">
        <v>1125000</v>
      </c>
      <c r="H393" s="246">
        <f>(G393*0.103)</f>
        <v>115875</v>
      </c>
      <c r="I393" s="246">
        <f t="shared" si="74"/>
        <v>112500</v>
      </c>
      <c r="L393" s="246">
        <v>0</v>
      </c>
      <c r="M393" s="246">
        <v>0</v>
      </c>
      <c r="N393" s="246">
        <v>0</v>
      </c>
      <c r="O393" s="246" t="s">
        <v>953</v>
      </c>
      <c r="P393" s="246">
        <v>1240875</v>
      </c>
      <c r="U393" s="246" t="s">
        <v>959</v>
      </c>
      <c r="V393" s="246">
        <f>G393+H393-I393+L393+M393+N393</f>
        <v>1128375</v>
      </c>
      <c r="W393" s="246">
        <v>1116787</v>
      </c>
      <c r="Y393" s="246" t="s">
        <v>960</v>
      </c>
      <c r="Z393" s="246">
        <f>V393-W393</f>
        <v>11588</v>
      </c>
      <c r="AC393" s="246" t="s">
        <v>42</v>
      </c>
    </row>
    <row r="394" spans="1:30">
      <c r="A394" s="246" t="s">
        <v>35</v>
      </c>
      <c r="B394" s="246" t="s">
        <v>956</v>
      </c>
      <c r="E394" s="317" t="s">
        <v>961</v>
      </c>
      <c r="F394" s="305" t="s">
        <v>962</v>
      </c>
      <c r="G394" s="257">
        <v>625000</v>
      </c>
      <c r="H394" s="246">
        <f>(G394*0.103)</f>
        <v>64375</v>
      </c>
      <c r="I394" s="246">
        <f t="shared" si="74"/>
        <v>62500</v>
      </c>
      <c r="L394" s="246">
        <v>0</v>
      </c>
      <c r="M394" s="246">
        <v>0</v>
      </c>
      <c r="N394" s="246">
        <v>0</v>
      </c>
      <c r="O394" s="246" t="s">
        <v>953</v>
      </c>
      <c r="P394" s="246">
        <v>689375</v>
      </c>
      <c r="U394" s="246" t="s">
        <v>963</v>
      </c>
      <c r="V394" s="246">
        <f>G394+H394-I394+L394+M394+N394</f>
        <v>626875</v>
      </c>
      <c r="Z394" s="246">
        <f>V394-W394</f>
        <v>626875</v>
      </c>
    </row>
    <row r="395" spans="1:30" ht="30" customHeight="1">
      <c r="A395" s="246" t="s">
        <v>35</v>
      </c>
      <c r="B395" s="246" t="s">
        <v>287</v>
      </c>
      <c r="E395" s="317" t="s">
        <v>964</v>
      </c>
      <c r="F395" s="307" t="s">
        <v>965</v>
      </c>
      <c r="G395" s="257">
        <v>350000</v>
      </c>
      <c r="H395" s="246">
        <f>G395*0.1236</f>
        <v>43260</v>
      </c>
      <c r="I395" s="246">
        <f t="shared" si="74"/>
        <v>35000</v>
      </c>
      <c r="L395" s="246">
        <v>0</v>
      </c>
      <c r="M395" s="246">
        <v>0</v>
      </c>
      <c r="N395" s="246">
        <v>0</v>
      </c>
      <c r="O395" s="246" t="s">
        <v>51</v>
      </c>
      <c r="P395" s="246">
        <v>393260</v>
      </c>
      <c r="U395" s="246" t="s">
        <v>966</v>
      </c>
      <c r="V395" s="246">
        <v>353934</v>
      </c>
      <c r="W395" s="246">
        <v>353934</v>
      </c>
      <c r="Y395" s="246" t="s">
        <v>967</v>
      </c>
      <c r="Z395" s="246">
        <f>V395-W395</f>
        <v>0</v>
      </c>
    </row>
    <row r="396" spans="1:30">
      <c r="A396" s="246" t="s">
        <v>35</v>
      </c>
      <c r="B396" s="246" t="s">
        <v>631</v>
      </c>
      <c r="C396" s="246" t="s">
        <v>142</v>
      </c>
      <c r="D396" s="246">
        <v>1028594</v>
      </c>
      <c r="F396" s="318" t="s">
        <v>968</v>
      </c>
      <c r="G396" s="257">
        <v>25000</v>
      </c>
      <c r="H396" s="246">
        <f>G396*0.18</f>
        <v>4500</v>
      </c>
      <c r="I396" s="246">
        <f t="shared" si="74"/>
        <v>2500</v>
      </c>
      <c r="O396" s="246" t="s">
        <v>500</v>
      </c>
      <c r="P396" s="246">
        <f>G396+H396</f>
        <v>29500</v>
      </c>
      <c r="U396" s="246" t="s">
        <v>681</v>
      </c>
      <c r="V396" s="246">
        <f>G396+H396-I396+N396</f>
        <v>27000</v>
      </c>
    </row>
    <row r="397" spans="1:30">
      <c r="A397" s="246" t="s">
        <v>35</v>
      </c>
      <c r="B397" s="246" t="s">
        <v>631</v>
      </c>
      <c r="C397" s="246" t="s">
        <v>142</v>
      </c>
      <c r="D397" s="246">
        <v>1028594</v>
      </c>
      <c r="F397" s="305" t="s">
        <v>969</v>
      </c>
      <c r="G397" s="257">
        <v>25000</v>
      </c>
      <c r="H397" s="246">
        <f>G397*0.18</f>
        <v>4500</v>
      </c>
      <c r="I397" s="246">
        <f t="shared" si="74"/>
        <v>2500</v>
      </c>
      <c r="O397" s="246" t="s">
        <v>500</v>
      </c>
      <c r="P397" s="246">
        <f>G397+H397</f>
        <v>29500</v>
      </c>
      <c r="U397" s="246" t="s">
        <v>681</v>
      </c>
      <c r="V397" s="246">
        <f>G397+H397-I397+N397</f>
        <v>27000</v>
      </c>
    </row>
    <row r="398" spans="1:30" ht="14.65" thickBot="1">
      <c r="B398" s="246" t="s">
        <v>183</v>
      </c>
      <c r="E398" s="246">
        <v>2023034</v>
      </c>
      <c r="F398" s="305" t="s">
        <v>970</v>
      </c>
      <c r="G398" s="258">
        <v>609644</v>
      </c>
      <c r="S398" s="246" t="s">
        <v>839</v>
      </c>
      <c r="U398" s="246" t="s">
        <v>971</v>
      </c>
    </row>
    <row r="399" spans="1:30" ht="75.75" customHeight="1" thickBot="1">
      <c r="B399" s="276" t="s">
        <v>787</v>
      </c>
      <c r="C399" s="256" t="s">
        <v>775</v>
      </c>
      <c r="D399" s="284" t="s">
        <v>858</v>
      </c>
      <c r="E399" s="246">
        <v>204024</v>
      </c>
      <c r="F399" s="319" t="s">
        <v>972</v>
      </c>
      <c r="G399" s="320">
        <v>123416</v>
      </c>
      <c r="S399" s="246" t="s">
        <v>973</v>
      </c>
      <c r="U399" s="321" t="s">
        <v>974</v>
      </c>
    </row>
    <row r="400" spans="1:30" ht="75.75" customHeight="1" thickBot="1">
      <c r="B400" s="276" t="s">
        <v>787</v>
      </c>
      <c r="C400" s="256" t="s">
        <v>775</v>
      </c>
      <c r="E400" s="246">
        <v>204024</v>
      </c>
      <c r="F400" s="322" t="s">
        <v>975</v>
      </c>
      <c r="G400" s="320">
        <v>92562</v>
      </c>
      <c r="S400" s="246" t="s">
        <v>973</v>
      </c>
      <c r="U400" s="321" t="s">
        <v>974</v>
      </c>
    </row>
    <row r="401" spans="1:29" ht="75.75" customHeight="1" thickBot="1">
      <c r="B401" s="276" t="s">
        <v>787</v>
      </c>
      <c r="C401" s="256" t="s">
        <v>775</v>
      </c>
      <c r="E401" s="246">
        <v>204024</v>
      </c>
      <c r="F401" s="323" t="s">
        <v>976</v>
      </c>
      <c r="G401" s="320">
        <v>46281</v>
      </c>
      <c r="S401" s="246" t="s">
        <v>973</v>
      </c>
      <c r="U401" s="321" t="s">
        <v>974</v>
      </c>
    </row>
    <row r="402" spans="1:29" ht="75.75" customHeight="1" thickBot="1">
      <c r="B402" s="276" t="s">
        <v>787</v>
      </c>
      <c r="C402" s="256" t="s">
        <v>775</v>
      </c>
      <c r="E402" s="246">
        <v>204024</v>
      </c>
      <c r="F402" s="319" t="s">
        <v>977</v>
      </c>
      <c r="G402" s="320">
        <v>46281</v>
      </c>
      <c r="K402" s="246" t="s">
        <v>973</v>
      </c>
      <c r="S402" s="246" t="s">
        <v>973</v>
      </c>
      <c r="U402" s="321" t="s">
        <v>974</v>
      </c>
    </row>
    <row r="403" spans="1:29" ht="15.75" customHeight="1" thickBot="1">
      <c r="B403" s="256" t="s">
        <v>978</v>
      </c>
      <c r="E403" s="246">
        <v>2024002</v>
      </c>
      <c r="F403" s="305" t="s">
        <v>979</v>
      </c>
      <c r="G403" s="320">
        <v>97000</v>
      </c>
      <c r="R403" s="246" t="s">
        <v>838</v>
      </c>
      <c r="S403" s="246" t="s">
        <v>973</v>
      </c>
      <c r="U403" s="246" t="s">
        <v>980</v>
      </c>
    </row>
    <row r="404" spans="1:29" ht="15.75" customHeight="1" thickBot="1">
      <c r="B404" s="256" t="s">
        <v>978</v>
      </c>
      <c r="E404" s="246">
        <v>2024002</v>
      </c>
      <c r="F404" s="305" t="s">
        <v>981</v>
      </c>
      <c r="G404" s="320">
        <v>97000</v>
      </c>
      <c r="R404" s="246" t="s">
        <v>838</v>
      </c>
      <c r="S404" s="246" t="s">
        <v>973</v>
      </c>
      <c r="U404" s="246" t="s">
        <v>980</v>
      </c>
    </row>
    <row r="405" spans="1:29" ht="15.75" customHeight="1" thickBot="1">
      <c r="B405" s="256" t="s">
        <v>978</v>
      </c>
      <c r="E405" s="246">
        <v>2024002</v>
      </c>
      <c r="F405" s="305" t="s">
        <v>982</v>
      </c>
      <c r="G405" s="320">
        <v>97000</v>
      </c>
      <c r="R405" s="246" t="s">
        <v>838</v>
      </c>
      <c r="S405" s="246" t="s">
        <v>973</v>
      </c>
      <c r="U405" s="246" t="s">
        <v>980</v>
      </c>
    </row>
    <row r="406" spans="1:29" ht="15.75" customHeight="1" thickBot="1">
      <c r="B406" s="256" t="s">
        <v>978</v>
      </c>
      <c r="E406" s="246">
        <v>2024002</v>
      </c>
      <c r="F406" s="305" t="s">
        <v>983</v>
      </c>
      <c r="G406" s="320">
        <v>58200</v>
      </c>
      <c r="R406" s="246" t="s">
        <v>838</v>
      </c>
      <c r="S406" s="246" t="s">
        <v>973</v>
      </c>
      <c r="U406" s="246" t="s">
        <v>980</v>
      </c>
    </row>
    <row r="407" spans="1:29" ht="45.75" customHeight="1" thickBot="1">
      <c r="B407" s="246" t="s">
        <v>889</v>
      </c>
      <c r="E407" s="246">
        <v>2024003</v>
      </c>
      <c r="F407" s="324" t="s">
        <v>984</v>
      </c>
      <c r="G407" s="325">
        <v>32080</v>
      </c>
      <c r="R407" s="246" t="s">
        <v>838</v>
      </c>
      <c r="S407" s="295" t="s">
        <v>973</v>
      </c>
      <c r="T407" s="295"/>
      <c r="U407" s="246" t="s">
        <v>980</v>
      </c>
    </row>
    <row r="408" spans="1:29" ht="29.25" customHeight="1" thickBot="1">
      <c r="B408" s="246" t="s">
        <v>889</v>
      </c>
      <c r="D408" s="256" t="s">
        <v>985</v>
      </c>
      <c r="E408" s="246">
        <v>2024003</v>
      </c>
      <c r="F408" s="326" t="s">
        <v>986</v>
      </c>
      <c r="G408" s="325">
        <v>160402</v>
      </c>
      <c r="S408" s="295" t="s">
        <v>973</v>
      </c>
      <c r="T408" s="295"/>
      <c r="U408" s="246" t="s">
        <v>980</v>
      </c>
    </row>
    <row r="409" spans="1:29" ht="15.75" customHeight="1" thickBot="1">
      <c r="B409" s="246" t="s">
        <v>914</v>
      </c>
      <c r="E409" s="246">
        <v>2024004</v>
      </c>
      <c r="F409" s="305" t="s">
        <v>987</v>
      </c>
      <c r="G409" s="320">
        <v>175000</v>
      </c>
      <c r="R409" s="246" t="s">
        <v>988</v>
      </c>
      <c r="S409" s="246" t="s">
        <v>973</v>
      </c>
      <c r="U409" s="246" t="s">
        <v>989</v>
      </c>
    </row>
    <row r="410" spans="1:29" ht="15.75" customHeight="1" thickBot="1">
      <c r="B410" s="246" t="s">
        <v>914</v>
      </c>
      <c r="E410" s="246">
        <v>2024004</v>
      </c>
      <c r="F410" s="327" t="s">
        <v>990</v>
      </c>
      <c r="G410" s="320">
        <f>250000/2</f>
        <v>125000</v>
      </c>
      <c r="R410" s="246" t="s">
        <v>988</v>
      </c>
      <c r="S410" s="246" t="s">
        <v>973</v>
      </c>
      <c r="U410" s="246" t="s">
        <v>989</v>
      </c>
    </row>
    <row r="411" spans="1:29" ht="15.75" customHeight="1" thickBot="1">
      <c r="B411" s="246" t="s">
        <v>914</v>
      </c>
      <c r="E411" s="246">
        <v>2024004</v>
      </c>
      <c r="F411" s="328" t="s">
        <v>991</v>
      </c>
      <c r="G411" s="320">
        <f>175000/2</f>
        <v>87500</v>
      </c>
      <c r="R411" s="246" t="s">
        <v>988</v>
      </c>
      <c r="S411" s="246" t="s">
        <v>973</v>
      </c>
      <c r="U411" s="246" t="s">
        <v>989</v>
      </c>
      <c r="Z411" s="246">
        <f>V411-W411</f>
        <v>0</v>
      </c>
      <c r="AC411" s="246" t="s">
        <v>42</v>
      </c>
    </row>
    <row r="412" spans="1:29" ht="30.75" customHeight="1" thickBot="1">
      <c r="B412" s="256" t="s">
        <v>736</v>
      </c>
      <c r="E412" s="246">
        <v>2024006</v>
      </c>
      <c r="F412" s="329" t="s">
        <v>992</v>
      </c>
      <c r="G412" s="330">
        <v>40000</v>
      </c>
      <c r="H412" s="246">
        <f>G412*0.18</f>
        <v>7200</v>
      </c>
      <c r="I412" s="246">
        <f>G412*0.075</f>
        <v>3000</v>
      </c>
      <c r="O412" s="246" t="s">
        <v>500</v>
      </c>
      <c r="P412" s="246">
        <f>G412+H412</f>
        <v>47200</v>
      </c>
      <c r="R412" s="298" t="s">
        <v>912</v>
      </c>
      <c r="S412" s="246" t="s">
        <v>973</v>
      </c>
      <c r="U412" s="246" t="s">
        <v>993</v>
      </c>
      <c r="V412" s="246">
        <f>G412+H412-I412+N412</f>
        <v>44200</v>
      </c>
      <c r="Z412" s="246">
        <f>V412-W412</f>
        <v>44200</v>
      </c>
      <c r="AC412" s="246" t="s">
        <v>42</v>
      </c>
    </row>
    <row r="413" spans="1:29" ht="16.5" customHeight="1" thickBot="1">
      <c r="A413" s="256"/>
      <c r="B413" s="256" t="s">
        <v>994</v>
      </c>
      <c r="C413" s="256" t="s">
        <v>995</v>
      </c>
      <c r="E413" s="246">
        <v>2024007</v>
      </c>
      <c r="F413" s="331" t="s">
        <v>751</v>
      </c>
      <c r="G413" s="332">
        <f>H413*82</f>
        <v>243540</v>
      </c>
      <c r="H413" s="333">
        <v>2970</v>
      </c>
      <c r="R413" s="246" t="s">
        <v>988</v>
      </c>
      <c r="S413" s="256" t="s">
        <v>973</v>
      </c>
      <c r="T413" s="256"/>
      <c r="U413" s="246" t="s">
        <v>996</v>
      </c>
    </row>
    <row r="414" spans="1:29" ht="15.75" customHeight="1" thickBot="1">
      <c r="B414" s="246" t="s">
        <v>901</v>
      </c>
      <c r="E414" s="246">
        <v>2024010</v>
      </c>
      <c r="F414" s="334" t="s">
        <v>997</v>
      </c>
      <c r="G414" s="325">
        <v>436397</v>
      </c>
      <c r="S414" s="295" t="s">
        <v>973</v>
      </c>
      <c r="T414" s="295"/>
      <c r="U414" s="246" t="s">
        <v>998</v>
      </c>
    </row>
    <row r="415" spans="1:29" ht="15.75" customHeight="1" thickBot="1">
      <c r="B415" s="246" t="s">
        <v>914</v>
      </c>
      <c r="E415" s="246">
        <v>2024011</v>
      </c>
      <c r="F415" s="335" t="s">
        <v>999</v>
      </c>
      <c r="G415" s="320">
        <f>125000/2</f>
        <v>62500</v>
      </c>
      <c r="S415" s="246" t="s">
        <v>973</v>
      </c>
      <c r="U415" s="246" t="s">
        <v>998</v>
      </c>
    </row>
    <row r="416" spans="1:29" ht="16.5" customHeight="1" thickBot="1">
      <c r="A416" s="256"/>
      <c r="B416" s="256" t="s">
        <v>994</v>
      </c>
      <c r="C416" s="256" t="s">
        <v>995</v>
      </c>
      <c r="E416" s="246">
        <v>2024012</v>
      </c>
      <c r="F416" s="270" t="s">
        <v>760</v>
      </c>
      <c r="G416" s="332">
        <f>H416*82</f>
        <v>243540</v>
      </c>
      <c r="H416" s="333">
        <v>2970</v>
      </c>
      <c r="R416" s="246" t="s">
        <v>838</v>
      </c>
      <c r="S416" s="256" t="s">
        <v>973</v>
      </c>
      <c r="T416" s="256"/>
      <c r="U416" s="246" t="s">
        <v>1000</v>
      </c>
    </row>
    <row r="417" spans="1:25" ht="15.75" customHeight="1" thickBot="1">
      <c r="B417" s="256" t="s">
        <v>1001</v>
      </c>
      <c r="E417" s="246">
        <v>2024012</v>
      </c>
      <c r="F417" s="336" t="s">
        <v>1002</v>
      </c>
      <c r="G417" s="246">
        <f>H417*87</f>
        <v>108750</v>
      </c>
      <c r="H417" s="332">
        <v>1250</v>
      </c>
      <c r="S417" s="256" t="s">
        <v>973</v>
      </c>
      <c r="T417" s="256"/>
      <c r="U417" s="246" t="s">
        <v>1000</v>
      </c>
    </row>
    <row r="418" spans="1:25" ht="15.75" customHeight="1" thickBot="1">
      <c r="B418" s="256" t="s">
        <v>1001</v>
      </c>
      <c r="E418" s="246">
        <v>2024012</v>
      </c>
      <c r="F418" s="337" t="s">
        <v>551</v>
      </c>
      <c r="G418" s="246">
        <f>H418*87</f>
        <v>30450</v>
      </c>
      <c r="H418" s="320">
        <v>350</v>
      </c>
      <c r="S418" s="256" t="s">
        <v>973</v>
      </c>
      <c r="T418" s="256"/>
      <c r="U418" s="246" t="s">
        <v>1000</v>
      </c>
    </row>
    <row r="419" spans="1:25" ht="15.75" customHeight="1" thickBot="1">
      <c r="B419" s="256" t="s">
        <v>881</v>
      </c>
      <c r="E419" s="246">
        <v>2024013</v>
      </c>
      <c r="F419" s="338" t="s">
        <v>771</v>
      </c>
      <c r="G419" s="325">
        <v>40000</v>
      </c>
      <c r="S419" s="295" t="s">
        <v>973</v>
      </c>
      <c r="T419" s="295"/>
      <c r="U419" s="246" t="s">
        <v>1000</v>
      </c>
    </row>
    <row r="420" spans="1:25" ht="15.75" customHeight="1" thickBot="1">
      <c r="B420" s="246" t="s">
        <v>914</v>
      </c>
      <c r="E420" s="246">
        <v>2024014</v>
      </c>
      <c r="F420" s="337" t="s">
        <v>1003</v>
      </c>
      <c r="G420" s="320">
        <f>250000/2</f>
        <v>125000</v>
      </c>
      <c r="K420" s="246" t="s">
        <v>973</v>
      </c>
      <c r="S420" s="246" t="s">
        <v>973</v>
      </c>
      <c r="U420" s="246" t="s">
        <v>1004</v>
      </c>
      <c r="Y420" s="246" t="s">
        <v>1005</v>
      </c>
    </row>
    <row r="421" spans="1:25" ht="15.75" customHeight="1" thickBot="1">
      <c r="B421" s="246" t="s">
        <v>183</v>
      </c>
      <c r="E421" s="246">
        <v>31102341</v>
      </c>
      <c r="F421" s="337" t="s">
        <v>68</v>
      </c>
      <c r="G421" s="332">
        <v>53639</v>
      </c>
      <c r="H421" s="246">
        <v>0</v>
      </c>
      <c r="I421" s="246">
        <v>0</v>
      </c>
      <c r="L421" s="246">
        <v>0</v>
      </c>
      <c r="M421" s="246">
        <v>0</v>
      </c>
      <c r="N421" s="246">
        <v>0</v>
      </c>
      <c r="O421" s="246" t="s">
        <v>127</v>
      </c>
      <c r="P421" s="246">
        <v>53639</v>
      </c>
      <c r="S421" s="256" t="s">
        <v>1006</v>
      </c>
      <c r="T421" s="256"/>
      <c r="U421" s="246" t="s">
        <v>1007</v>
      </c>
      <c r="V421" s="246">
        <f>G421+H421-I421+L421+M421+N421</f>
        <v>53639</v>
      </c>
      <c r="W421" s="246">
        <v>48934</v>
      </c>
      <c r="Y421" s="246" t="s">
        <v>320</v>
      </c>
    </row>
    <row r="422" spans="1:25" ht="15.75" customHeight="1" thickBot="1">
      <c r="B422" s="246" t="s">
        <v>183</v>
      </c>
      <c r="E422" s="246" t="s">
        <v>1008</v>
      </c>
      <c r="F422" s="337" t="s">
        <v>1009</v>
      </c>
      <c r="G422" s="332">
        <v>319000</v>
      </c>
      <c r="H422" s="246">
        <f>(G422*0.14)</f>
        <v>44660.000000000007</v>
      </c>
      <c r="I422" s="246">
        <f>G422*0.1</f>
        <v>31900</v>
      </c>
      <c r="L422" s="246">
        <f>G422*0.005</f>
        <v>1595</v>
      </c>
      <c r="M422" s="246">
        <f>G422*0.005</f>
        <v>1595</v>
      </c>
      <c r="N422" s="246">
        <v>0</v>
      </c>
      <c r="O422" s="246" t="s">
        <v>357</v>
      </c>
      <c r="P422" s="246">
        <v>366850</v>
      </c>
      <c r="S422" s="256" t="s">
        <v>542</v>
      </c>
      <c r="T422" s="256"/>
      <c r="U422" s="246" t="s">
        <v>1010</v>
      </c>
      <c r="V422" s="246">
        <f>G422+H422-I422+L422+M422+N422</f>
        <v>334950</v>
      </c>
      <c r="W422" s="246">
        <v>334950</v>
      </c>
      <c r="Y422" s="246" t="s">
        <v>1011</v>
      </c>
    </row>
    <row r="423" spans="1:25" ht="16.5" customHeight="1" thickBot="1">
      <c r="A423" s="256"/>
      <c r="B423" s="256" t="s">
        <v>994</v>
      </c>
      <c r="C423" s="256" t="s">
        <v>995</v>
      </c>
      <c r="E423" s="246" t="s">
        <v>1012</v>
      </c>
      <c r="F423" s="339" t="s">
        <v>618</v>
      </c>
      <c r="G423" s="332">
        <f>H423*82</f>
        <v>270600</v>
      </c>
      <c r="H423" s="333">
        <v>3300</v>
      </c>
      <c r="S423" s="256" t="s">
        <v>783</v>
      </c>
      <c r="T423" s="256"/>
    </row>
    <row r="424" spans="1:25" ht="15.75" customHeight="1" thickBot="1">
      <c r="B424" s="246" t="s">
        <v>914</v>
      </c>
      <c r="E424" s="246">
        <v>2024014</v>
      </c>
      <c r="F424" s="332" t="s">
        <v>1013</v>
      </c>
      <c r="G424" s="320">
        <f>175000/2</f>
        <v>87500</v>
      </c>
      <c r="K424" s="246" t="s">
        <v>973</v>
      </c>
      <c r="S424" s="246" t="s">
        <v>973</v>
      </c>
      <c r="U424" s="246" t="s">
        <v>1004</v>
      </c>
      <c r="Y424" s="246" t="s">
        <v>1005</v>
      </c>
    </row>
    <row r="425" spans="1:25" ht="15.75" customHeight="1" thickBot="1">
      <c r="B425" s="256" t="s">
        <v>1014</v>
      </c>
      <c r="C425" s="246" t="s">
        <v>1015</v>
      </c>
      <c r="E425" s="246">
        <v>2024015</v>
      </c>
      <c r="F425" s="332" t="s">
        <v>618</v>
      </c>
      <c r="G425" s="320">
        <v>280000</v>
      </c>
      <c r="S425" s="256" t="s">
        <v>973</v>
      </c>
      <c r="T425" s="256"/>
      <c r="U425" s="246" t="s">
        <v>1016</v>
      </c>
    </row>
    <row r="426" spans="1:25" ht="15.75" customHeight="1" thickBot="1">
      <c r="A426" s="256"/>
      <c r="B426" s="256" t="s">
        <v>1017</v>
      </c>
      <c r="C426" s="256" t="s">
        <v>1018</v>
      </c>
      <c r="E426" s="246">
        <v>26001</v>
      </c>
      <c r="F426" s="358" t="s">
        <v>763</v>
      </c>
      <c r="G426" s="360">
        <v>540000</v>
      </c>
      <c r="H426" s="246">
        <f>G426*0.18</f>
        <v>97200</v>
      </c>
      <c r="S426" s="246" t="s">
        <v>1019</v>
      </c>
      <c r="U426" s="246" t="s">
        <v>1020</v>
      </c>
      <c r="V426" s="246">
        <f>G426+H426-(G426*0.1)</f>
        <v>583200</v>
      </c>
      <c r="W426" s="246">
        <f>V426</f>
        <v>583200</v>
      </c>
      <c r="Y426" s="246" t="s">
        <v>1021</v>
      </c>
    </row>
    <row r="427" spans="1:25" ht="15" customHeight="1">
      <c r="A427" s="256"/>
      <c r="B427" s="256" t="s">
        <v>1022</v>
      </c>
      <c r="C427" s="256" t="s">
        <v>1023</v>
      </c>
      <c r="E427" s="246">
        <v>26002</v>
      </c>
      <c r="F427" s="484" t="s">
        <v>763</v>
      </c>
      <c r="G427" s="487">
        <v>130000</v>
      </c>
      <c r="H427" s="246">
        <f>G427*0.18</f>
        <v>23400</v>
      </c>
      <c r="S427" s="256" t="s">
        <v>1019</v>
      </c>
      <c r="T427" s="256"/>
      <c r="U427" s="246" t="s">
        <v>1024</v>
      </c>
      <c r="V427" s="246">
        <f>G427+H427-(G427*0.1)</f>
        <v>140400</v>
      </c>
      <c r="W427" s="246">
        <f>V427</f>
        <v>140400</v>
      </c>
      <c r="Y427" s="246" t="s">
        <v>1025</v>
      </c>
    </row>
    <row r="428" spans="1:25">
      <c r="B428" s="246" t="s">
        <v>1026</v>
      </c>
      <c r="C428" s="246" t="s">
        <v>1027</v>
      </c>
      <c r="E428" s="246">
        <v>2024015</v>
      </c>
      <c r="F428" s="246" t="s">
        <v>618</v>
      </c>
      <c r="G428" s="257">
        <v>360000</v>
      </c>
      <c r="S428" s="256" t="s">
        <v>973</v>
      </c>
      <c r="T428" s="256"/>
      <c r="U428" s="246" t="s">
        <v>1016</v>
      </c>
    </row>
    <row r="429" spans="1:25" ht="15.75" customHeight="1" thickBot="1">
      <c r="B429" s="246" t="s">
        <v>1028</v>
      </c>
      <c r="C429" s="246" t="s">
        <v>1029</v>
      </c>
      <c r="E429" s="246">
        <v>2024017</v>
      </c>
      <c r="F429" s="288" t="s">
        <v>1030</v>
      </c>
      <c r="G429" s="288">
        <v>70000</v>
      </c>
      <c r="S429" s="256" t="s">
        <v>973</v>
      </c>
      <c r="T429" s="256"/>
      <c r="U429" s="246" t="s">
        <v>1031</v>
      </c>
    </row>
    <row r="430" spans="1:25" ht="15.75" customHeight="1" thickBot="1">
      <c r="B430" s="246" t="s">
        <v>692</v>
      </c>
      <c r="C430" s="246" t="s">
        <v>142</v>
      </c>
      <c r="E430" s="246">
        <v>2024019</v>
      </c>
      <c r="F430" s="340" t="s">
        <v>894</v>
      </c>
      <c r="G430" s="320">
        <f>(8128590*0.15)/2</f>
        <v>609644.25</v>
      </c>
      <c r="H430" s="246">
        <f>G430*0.18</f>
        <v>109735.965</v>
      </c>
      <c r="J430" s="246" t="s">
        <v>891</v>
      </c>
      <c r="K430" s="246" t="s">
        <v>839</v>
      </c>
      <c r="L430" s="246" t="s">
        <v>895</v>
      </c>
      <c r="M430" s="246">
        <v>1316831.58</v>
      </c>
      <c r="S430" s="246" t="s">
        <v>839</v>
      </c>
      <c r="U430" s="321" t="s">
        <v>974</v>
      </c>
    </row>
    <row r="431" spans="1:25" ht="15.75" customHeight="1" thickBot="1">
      <c r="B431" s="246" t="s">
        <v>1032</v>
      </c>
      <c r="E431" s="246">
        <v>26003</v>
      </c>
      <c r="F431" s="332" t="s">
        <v>1033</v>
      </c>
      <c r="G431" s="332">
        <v>500000</v>
      </c>
      <c r="H431" s="246">
        <f>G431*0.18</f>
        <v>90000</v>
      </c>
      <c r="S431" s="246" t="s">
        <v>1019</v>
      </c>
      <c r="U431" s="246" t="s">
        <v>1024</v>
      </c>
      <c r="V431" s="246">
        <f>G431+H431-(G431*0.1)</f>
        <v>540000</v>
      </c>
      <c r="W431" s="246">
        <f>V431</f>
        <v>540000</v>
      </c>
      <c r="Y431" s="246" t="s">
        <v>1034</v>
      </c>
    </row>
    <row r="432" spans="1:25" ht="15.75" customHeight="1" thickBot="1">
      <c r="B432" s="246" t="s">
        <v>1028</v>
      </c>
      <c r="C432" s="246" t="s">
        <v>1029</v>
      </c>
      <c r="E432" s="246">
        <v>2024017</v>
      </c>
      <c r="F432" s="332" t="s">
        <v>1035</v>
      </c>
      <c r="G432" s="320">
        <v>52500</v>
      </c>
      <c r="S432" s="256" t="s">
        <v>973</v>
      </c>
      <c r="T432" s="256"/>
      <c r="U432" s="246" t="s">
        <v>1031</v>
      </c>
    </row>
    <row r="433" spans="2:25" ht="15.75" customHeight="1" thickBot="1">
      <c r="B433" s="246" t="s">
        <v>183</v>
      </c>
      <c r="E433" s="246" t="s">
        <v>1012</v>
      </c>
      <c r="F433" s="332" t="s">
        <v>1036</v>
      </c>
      <c r="G433" s="320">
        <f>1470000+3200000</f>
        <v>4670000</v>
      </c>
      <c r="H433" s="246">
        <f>G433*0.18</f>
        <v>840600</v>
      </c>
      <c r="I433" s="246">
        <f>G433*0.1</f>
        <v>467000</v>
      </c>
      <c r="O433" s="246" t="s">
        <v>500</v>
      </c>
      <c r="P433" s="246">
        <f>G433+H433</f>
        <v>5510600</v>
      </c>
      <c r="S433" s="246" t="s">
        <v>709</v>
      </c>
      <c r="V433" s="246">
        <f>G433+H433-I433+N433</f>
        <v>5043600</v>
      </c>
    </row>
    <row r="434" spans="2:25" ht="75.75" customHeight="1" thickBot="1">
      <c r="B434" s="276" t="s">
        <v>787</v>
      </c>
      <c r="C434" s="256" t="s">
        <v>775</v>
      </c>
      <c r="F434" s="290" t="s">
        <v>1037</v>
      </c>
      <c r="G434" s="320"/>
      <c r="S434" s="246" t="s">
        <v>1038</v>
      </c>
    </row>
    <row r="435" spans="2:25" ht="75.75" customHeight="1" thickBot="1">
      <c r="B435" s="276" t="s">
        <v>787</v>
      </c>
      <c r="C435" s="256" t="s">
        <v>775</v>
      </c>
      <c r="F435" s="290" t="s">
        <v>1039</v>
      </c>
      <c r="G435" s="320"/>
      <c r="S435" s="246" t="s">
        <v>1038</v>
      </c>
    </row>
    <row r="436" spans="2:25" ht="15.75" customHeight="1" thickBot="1">
      <c r="B436" s="246" t="s">
        <v>1040</v>
      </c>
      <c r="C436" s="369">
        <v>1100000</v>
      </c>
      <c r="E436" s="246">
        <v>26004</v>
      </c>
      <c r="F436" s="358" t="s">
        <v>603</v>
      </c>
      <c r="G436" s="360">
        <v>110000</v>
      </c>
      <c r="H436" s="246">
        <f>G436*0.18</f>
        <v>19800</v>
      </c>
      <c r="K436" s="246" t="s">
        <v>1019</v>
      </c>
      <c r="S436" s="246" t="s">
        <v>1019</v>
      </c>
      <c r="T436" s="246" t="s">
        <v>1041</v>
      </c>
      <c r="U436" s="246" t="s">
        <v>1042</v>
      </c>
      <c r="V436" s="246">
        <f>G436+H436-(G436*0.1)</f>
        <v>118800</v>
      </c>
      <c r="W436" s="246">
        <f>99000+19800</f>
        <v>118800</v>
      </c>
      <c r="Y436" s="256" t="s">
        <v>1043</v>
      </c>
    </row>
    <row r="437" spans="2:25" ht="75.75" customHeight="1" thickBot="1">
      <c r="B437" s="276" t="s">
        <v>787</v>
      </c>
      <c r="C437" s="256" t="s">
        <v>775</v>
      </c>
      <c r="F437" s="290" t="s">
        <v>1044</v>
      </c>
      <c r="G437" s="320"/>
      <c r="S437" s="246" t="s">
        <v>1038</v>
      </c>
    </row>
    <row r="438" spans="2:25" ht="15.75" customHeight="1" thickBot="1">
      <c r="B438" s="246" t="s">
        <v>1028</v>
      </c>
      <c r="C438" s="246" t="s">
        <v>1029</v>
      </c>
      <c r="E438" s="246">
        <v>2024018</v>
      </c>
      <c r="F438" s="332" t="s">
        <v>1045</v>
      </c>
      <c r="G438" s="320">
        <v>52500</v>
      </c>
      <c r="S438" s="256" t="s">
        <v>973</v>
      </c>
      <c r="T438" s="256"/>
      <c r="U438" s="246" t="s">
        <v>1031</v>
      </c>
    </row>
    <row r="439" spans="2:25" ht="16.5" customHeight="1" thickBot="1">
      <c r="B439" s="256" t="s">
        <v>817</v>
      </c>
      <c r="C439" s="256" t="s">
        <v>775</v>
      </c>
      <c r="F439" s="290" t="s">
        <v>1037</v>
      </c>
      <c r="G439" s="257"/>
      <c r="H439" s="342"/>
      <c r="S439" s="246" t="s">
        <v>1038</v>
      </c>
    </row>
    <row r="440" spans="2:25" ht="15.75" customHeight="1" thickBot="1">
      <c r="B440" s="256" t="s">
        <v>1017</v>
      </c>
      <c r="C440" s="256" t="s">
        <v>1018</v>
      </c>
      <c r="E440" s="246">
        <v>26005</v>
      </c>
      <c r="F440" s="343" t="s">
        <v>764</v>
      </c>
      <c r="G440" s="344">
        <v>405000</v>
      </c>
      <c r="H440" s="246">
        <f>+G440*0.18</f>
        <v>72900</v>
      </c>
      <c r="S440" s="246" t="s">
        <v>1019</v>
      </c>
      <c r="T440" s="256" t="s">
        <v>1046</v>
      </c>
      <c r="U440" s="246" t="s">
        <v>1047</v>
      </c>
      <c r="V440" s="246">
        <f>G440+H440-(G440*0.1)</f>
        <v>437400</v>
      </c>
      <c r="W440" s="246">
        <f>V440</f>
        <v>437400</v>
      </c>
      <c r="Y440" s="246" t="s">
        <v>1048</v>
      </c>
    </row>
    <row r="441" spans="2:25" ht="32.25" customHeight="1" thickBot="1">
      <c r="B441" s="256" t="s">
        <v>817</v>
      </c>
      <c r="C441" s="256" t="s">
        <v>775</v>
      </c>
      <c r="F441" s="291" t="s">
        <v>1039</v>
      </c>
      <c r="G441" s="257"/>
      <c r="H441" s="345"/>
      <c r="S441" s="246" t="s">
        <v>1038</v>
      </c>
    </row>
    <row r="442" spans="2:25" ht="16.5" customHeight="1" thickBot="1">
      <c r="B442" s="256" t="s">
        <v>817</v>
      </c>
      <c r="C442" s="256" t="s">
        <v>775</v>
      </c>
      <c r="F442" s="291" t="s">
        <v>1044</v>
      </c>
      <c r="G442" s="257"/>
      <c r="H442" s="345"/>
      <c r="S442" s="246" t="s">
        <v>1038</v>
      </c>
    </row>
    <row r="443" spans="2:25" ht="15.75" customHeight="1" thickBot="1">
      <c r="B443" s="246" t="s">
        <v>1028</v>
      </c>
      <c r="C443" s="246" t="s">
        <v>1029</v>
      </c>
      <c r="E443" s="246">
        <v>2024018</v>
      </c>
      <c r="F443" s="288" t="s">
        <v>1049</v>
      </c>
      <c r="G443" s="257">
        <v>70000</v>
      </c>
      <c r="H443" s="345"/>
      <c r="S443" s="256" t="s">
        <v>973</v>
      </c>
      <c r="T443" s="256"/>
      <c r="U443" s="246" t="s">
        <v>1031</v>
      </c>
    </row>
    <row r="444" spans="2:25" ht="15.75" customHeight="1" thickBot="1">
      <c r="B444" s="246" t="s">
        <v>692</v>
      </c>
      <c r="C444" s="246" t="s">
        <v>142</v>
      </c>
      <c r="E444" s="246">
        <v>2024021</v>
      </c>
      <c r="F444" s="346" t="s">
        <v>1050</v>
      </c>
      <c r="G444" s="257">
        <f>8128590*0.15</f>
        <v>1219288.5</v>
      </c>
      <c r="H444" s="345">
        <f>G444*0.18</f>
        <v>219471.93</v>
      </c>
      <c r="I444" s="246">
        <f>G444*0.1</f>
        <v>121928.85</v>
      </c>
      <c r="O444" s="246" t="s">
        <v>500</v>
      </c>
      <c r="P444" s="246">
        <f>G444+H444</f>
        <v>1438760.43</v>
      </c>
      <c r="S444" s="246" t="s">
        <v>973</v>
      </c>
      <c r="U444" s="321" t="s">
        <v>974</v>
      </c>
      <c r="V444" s="246">
        <f>G444+H444-I444+N444</f>
        <v>1316831.5799999998</v>
      </c>
    </row>
    <row r="445" spans="2:25">
      <c r="B445" s="246" t="s">
        <v>692</v>
      </c>
      <c r="C445" s="246" t="s">
        <v>142</v>
      </c>
      <c r="E445" s="246">
        <v>2024022</v>
      </c>
      <c r="F445" s="347" t="s">
        <v>1051</v>
      </c>
      <c r="G445" s="257">
        <f>8128590*0.05</f>
        <v>406429.5</v>
      </c>
      <c r="H445" s="348">
        <f>G445*0.18</f>
        <v>73157.31</v>
      </c>
      <c r="I445" s="246">
        <f>G445*0.1</f>
        <v>40642.950000000004</v>
      </c>
      <c r="O445" s="246" t="s">
        <v>500</v>
      </c>
      <c r="P445" s="246">
        <f>G445+H445</f>
        <v>479586.81</v>
      </c>
      <c r="S445" s="246" t="s">
        <v>973</v>
      </c>
      <c r="U445" s="321" t="s">
        <v>974</v>
      </c>
      <c r="V445" s="246">
        <f>G445+H445-I445+N445</f>
        <v>438943.86</v>
      </c>
    </row>
    <row r="446" spans="2:25">
      <c r="B446" s="246" t="s">
        <v>1026</v>
      </c>
      <c r="C446" s="246" t="s">
        <v>1027</v>
      </c>
      <c r="E446" s="246">
        <v>2024025</v>
      </c>
      <c r="F446" s="246" t="s">
        <v>653</v>
      </c>
      <c r="G446" s="257">
        <v>360000</v>
      </c>
      <c r="S446" s="256" t="s">
        <v>973</v>
      </c>
      <c r="T446" s="256"/>
      <c r="U446" s="246" t="s">
        <v>1052</v>
      </c>
    </row>
    <row r="447" spans="2:25" ht="16.5" customHeight="1" thickBot="1">
      <c r="B447" s="256" t="s">
        <v>774</v>
      </c>
      <c r="C447" s="256" t="s">
        <v>775</v>
      </c>
      <c r="F447" s="291" t="s">
        <v>1037</v>
      </c>
      <c r="G447" s="349"/>
      <c r="S447" s="246" t="s">
        <v>1038</v>
      </c>
    </row>
    <row r="448" spans="2:25" ht="32.25" customHeight="1" thickBot="1">
      <c r="B448" s="256" t="s">
        <v>774</v>
      </c>
      <c r="C448" s="256" t="s">
        <v>775</v>
      </c>
      <c r="F448" s="290" t="s">
        <v>1039</v>
      </c>
      <c r="G448" s="320"/>
      <c r="S448" s="246" t="s">
        <v>1038</v>
      </c>
    </row>
    <row r="449" spans="1:25" ht="15.75" customHeight="1">
      <c r="B449" s="256" t="s">
        <v>774</v>
      </c>
      <c r="C449" s="256" t="s">
        <v>775</v>
      </c>
      <c r="F449" s="350" t="s">
        <v>1044</v>
      </c>
      <c r="G449" s="257"/>
      <c r="S449" s="246" t="s">
        <v>1038</v>
      </c>
      <c r="U449" s="256"/>
    </row>
    <row r="450" spans="1:25" ht="15.75" customHeight="1">
      <c r="B450" s="256" t="s">
        <v>778</v>
      </c>
      <c r="C450" s="256" t="s">
        <v>775</v>
      </c>
      <c r="F450" s="351" t="s">
        <v>1037</v>
      </c>
      <c r="G450" s="257"/>
      <c r="S450" s="246" t="s">
        <v>1038</v>
      </c>
    </row>
    <row r="451" spans="1:25" ht="31.5" customHeight="1">
      <c r="B451" s="256" t="s">
        <v>778</v>
      </c>
      <c r="C451" s="256" t="s">
        <v>775</v>
      </c>
      <c r="F451" s="351" t="s">
        <v>1039</v>
      </c>
      <c r="G451" s="257"/>
      <c r="S451" s="246" t="s">
        <v>1038</v>
      </c>
    </row>
    <row r="452" spans="1:25" ht="15.75" customHeight="1">
      <c r="B452" s="256" t="s">
        <v>778</v>
      </c>
      <c r="C452" s="256" t="s">
        <v>775</v>
      </c>
      <c r="F452" s="351" t="s">
        <v>1044</v>
      </c>
      <c r="G452" s="257"/>
      <c r="S452" s="246" t="s">
        <v>1038</v>
      </c>
    </row>
    <row r="453" spans="1:25">
      <c r="B453" s="246" t="s">
        <v>1026</v>
      </c>
      <c r="C453" s="246" t="s">
        <v>1027</v>
      </c>
      <c r="E453" s="246">
        <v>26006</v>
      </c>
      <c r="F453" s="353" t="s">
        <v>399</v>
      </c>
      <c r="G453" s="257">
        <v>270000</v>
      </c>
      <c r="H453" s="246">
        <f>G453*0.18</f>
        <v>48600</v>
      </c>
      <c r="S453" s="256" t="s">
        <v>1019</v>
      </c>
      <c r="T453" s="256" t="s">
        <v>1046</v>
      </c>
      <c r="U453" s="246" t="s">
        <v>1053</v>
      </c>
      <c r="V453" s="246">
        <f>G453+H453-(G453*0.1)</f>
        <v>291600</v>
      </c>
      <c r="W453" s="246">
        <f>V453</f>
        <v>291600</v>
      </c>
      <c r="Y453" s="246" t="s">
        <v>1054</v>
      </c>
    </row>
    <row r="454" spans="1:25">
      <c r="B454" s="256" t="s">
        <v>1014</v>
      </c>
      <c r="C454" s="246" t="s">
        <v>1015</v>
      </c>
      <c r="E454" s="246">
        <v>26008</v>
      </c>
      <c r="F454" s="353" t="s">
        <v>1055</v>
      </c>
      <c r="G454" s="257">
        <f>210000/2</f>
        <v>105000</v>
      </c>
      <c r="H454" s="246">
        <f>+G454*0.18</f>
        <v>18900</v>
      </c>
      <c r="S454" s="256" t="s">
        <v>1019</v>
      </c>
      <c r="T454" s="256" t="s">
        <v>1041</v>
      </c>
      <c r="U454" s="246" t="s">
        <v>1056</v>
      </c>
      <c r="V454" s="246">
        <f>G454+H454-(G454*0.1)</f>
        <v>113400</v>
      </c>
      <c r="W454" s="246">
        <v>193500</v>
      </c>
      <c r="Y454" s="246" t="s">
        <v>1057</v>
      </c>
    </row>
    <row r="455" spans="1:25">
      <c r="B455" s="246" t="s">
        <v>1028</v>
      </c>
      <c r="C455" s="246" t="s">
        <v>1058</v>
      </c>
      <c r="E455" s="246">
        <v>26008</v>
      </c>
      <c r="F455" s="353" t="s">
        <v>1059</v>
      </c>
      <c r="G455" s="257">
        <v>150000</v>
      </c>
      <c r="H455" s="246">
        <f>+G455*0.18</f>
        <v>27000</v>
      </c>
      <c r="S455" s="256" t="s">
        <v>1019</v>
      </c>
      <c r="T455" s="256" t="s">
        <v>1046</v>
      </c>
      <c r="U455" s="246" t="s">
        <v>1054</v>
      </c>
      <c r="V455" s="246">
        <f>G455+H455-(G455*0.1)</f>
        <v>162000</v>
      </c>
      <c r="Y455" s="246" t="s">
        <v>1060</v>
      </c>
    </row>
    <row r="456" spans="1:25">
      <c r="A456" s="256"/>
      <c r="B456" s="246" t="s">
        <v>1028</v>
      </c>
      <c r="C456" s="246" t="s">
        <v>1029</v>
      </c>
      <c r="E456" s="246">
        <v>26009</v>
      </c>
      <c r="F456" s="353" t="s">
        <v>1061</v>
      </c>
      <c r="G456" s="257">
        <v>35000</v>
      </c>
      <c r="H456" s="246">
        <f>G456*0.18</f>
        <v>6300</v>
      </c>
      <c r="S456" s="256" t="s">
        <v>1019</v>
      </c>
      <c r="T456" s="256" t="s">
        <v>1046</v>
      </c>
      <c r="U456" s="246" t="s">
        <v>1054</v>
      </c>
      <c r="V456" s="246">
        <f>G456+H456-(G456*0.1)</f>
        <v>37800</v>
      </c>
      <c r="Y456" s="246" t="s">
        <v>1060</v>
      </c>
    </row>
    <row r="457" spans="1:25" ht="15" customHeight="1">
      <c r="B457" s="256" t="s">
        <v>1022</v>
      </c>
      <c r="C457" s="256" t="s">
        <v>1023</v>
      </c>
      <c r="E457" s="246">
        <v>2024026</v>
      </c>
      <c r="F457" s="352" t="s">
        <v>711</v>
      </c>
      <c r="G457" s="294">
        <v>130000</v>
      </c>
      <c r="S457" s="256" t="s">
        <v>973</v>
      </c>
      <c r="T457" s="256"/>
      <c r="U457" s="246" t="s">
        <v>1062</v>
      </c>
    </row>
    <row r="458" spans="1:25">
      <c r="B458" s="256" t="s">
        <v>1014</v>
      </c>
      <c r="C458" s="246" t="s">
        <v>1015</v>
      </c>
      <c r="E458" s="246">
        <v>2024029</v>
      </c>
      <c r="F458" s="353" t="s">
        <v>653</v>
      </c>
      <c r="G458" s="257">
        <v>280000</v>
      </c>
      <c r="S458" s="256" t="s">
        <v>973</v>
      </c>
      <c r="T458" s="256"/>
      <c r="U458" s="246" t="s">
        <v>1063</v>
      </c>
    </row>
    <row r="459" spans="1:25" ht="42.75" customHeight="1">
      <c r="B459" s="256" t="s">
        <v>868</v>
      </c>
      <c r="C459" s="256" t="s">
        <v>869</v>
      </c>
      <c r="E459" s="246">
        <v>2024030</v>
      </c>
      <c r="F459" s="266" t="s">
        <v>1064</v>
      </c>
      <c r="G459" s="257">
        <v>75000</v>
      </c>
      <c r="S459" s="256" t="s">
        <v>973</v>
      </c>
      <c r="T459" s="256"/>
      <c r="U459" s="256" t="s">
        <v>1065</v>
      </c>
    </row>
    <row r="460" spans="1:25" ht="14.65" thickBot="1">
      <c r="B460" s="246" t="s">
        <v>728</v>
      </c>
      <c r="E460" s="246" t="s">
        <v>1012</v>
      </c>
      <c r="F460" s="246" t="s">
        <v>14</v>
      </c>
      <c r="G460" s="257">
        <v>1135186</v>
      </c>
      <c r="H460" s="246">
        <f>G460*0.18</f>
        <v>204333.47999999998</v>
      </c>
      <c r="I460" s="246">
        <f>G460*0.075</f>
        <v>85138.95</v>
      </c>
      <c r="O460" s="246" t="s">
        <v>500</v>
      </c>
      <c r="S460" s="256" t="s">
        <v>973</v>
      </c>
      <c r="T460" s="256"/>
    </row>
    <row r="461" spans="1:25">
      <c r="B461" s="256" t="s">
        <v>868</v>
      </c>
      <c r="C461" s="256" t="s">
        <v>869</v>
      </c>
      <c r="E461" s="246">
        <v>2024030</v>
      </c>
      <c r="F461" s="354" t="s">
        <v>724</v>
      </c>
      <c r="G461" s="355">
        <v>200000</v>
      </c>
      <c r="S461" s="256" t="s">
        <v>973</v>
      </c>
      <c r="T461" s="256"/>
      <c r="U461" s="256" t="s">
        <v>1065</v>
      </c>
    </row>
    <row r="462" spans="1:25">
      <c r="B462" s="246" t="s">
        <v>1026</v>
      </c>
      <c r="C462" s="246" t="s">
        <v>1027</v>
      </c>
      <c r="E462" s="246">
        <v>2024031</v>
      </c>
      <c r="F462" s="246" t="s">
        <v>551</v>
      </c>
      <c r="G462" s="257">
        <v>270000</v>
      </c>
      <c r="S462" s="256" t="s">
        <v>973</v>
      </c>
      <c r="T462" s="256"/>
      <c r="U462" s="246" t="s">
        <v>1066</v>
      </c>
    </row>
    <row r="463" spans="1:25" ht="15.75" customHeight="1" thickBot="1">
      <c r="B463" s="256" t="s">
        <v>1017</v>
      </c>
      <c r="C463" s="256" t="s">
        <v>1018</v>
      </c>
      <c r="E463" s="246">
        <v>2024032</v>
      </c>
      <c r="F463" s="343" t="s">
        <v>711</v>
      </c>
      <c r="G463" s="356">
        <v>405000</v>
      </c>
      <c r="S463" s="256" t="s">
        <v>973</v>
      </c>
      <c r="T463" s="256"/>
      <c r="U463" s="256" t="s">
        <v>1067</v>
      </c>
    </row>
    <row r="464" spans="1:25" ht="16.5" customHeight="1" thickBot="1">
      <c r="A464" s="256"/>
      <c r="B464" s="256" t="s">
        <v>994</v>
      </c>
      <c r="C464" s="256" t="s">
        <v>995</v>
      </c>
      <c r="E464" s="246" t="s">
        <v>1012</v>
      </c>
      <c r="F464" s="341" t="s">
        <v>761</v>
      </c>
      <c r="G464" s="332">
        <f>H464*87</f>
        <v>287100</v>
      </c>
      <c r="H464" s="333">
        <v>3300</v>
      </c>
      <c r="S464" s="295" t="s">
        <v>973</v>
      </c>
      <c r="T464" s="295"/>
    </row>
    <row r="465" spans="1:25" ht="15.75" customHeight="1" thickBot="1">
      <c r="A465" s="256"/>
      <c r="B465" s="246" t="s">
        <v>1028</v>
      </c>
      <c r="C465" s="246" t="s">
        <v>1029</v>
      </c>
      <c r="E465" s="246">
        <v>26009</v>
      </c>
      <c r="F465" s="332" t="s">
        <v>1068</v>
      </c>
      <c r="G465" s="320">
        <v>35000</v>
      </c>
      <c r="H465" s="246">
        <f>G465*0.18</f>
        <v>6300</v>
      </c>
      <c r="S465" s="256" t="s">
        <v>1019</v>
      </c>
      <c r="T465" s="256" t="s">
        <v>1046</v>
      </c>
      <c r="U465" s="246" t="s">
        <v>1054</v>
      </c>
      <c r="V465" s="246">
        <f>G465+H465-(G465*0.1)</f>
        <v>37800</v>
      </c>
      <c r="Y465" s="246" t="s">
        <v>1069</v>
      </c>
    </row>
    <row r="466" spans="1:25" ht="15.75" customHeight="1" thickBot="1">
      <c r="B466" s="357" t="s">
        <v>1070</v>
      </c>
      <c r="E466" s="246" t="s">
        <v>1071</v>
      </c>
      <c r="F466" s="358" t="s">
        <v>711</v>
      </c>
      <c r="G466" s="325">
        <v>480000</v>
      </c>
      <c r="S466" s="256" t="s">
        <v>783</v>
      </c>
      <c r="T466" s="256"/>
    </row>
    <row r="467" spans="1:25" ht="15.75" customHeight="1" thickBot="1">
      <c r="A467" s="256"/>
      <c r="B467" s="256" t="s">
        <v>1072</v>
      </c>
      <c r="C467" s="256" t="s">
        <v>1073</v>
      </c>
      <c r="E467" s="246">
        <v>26010</v>
      </c>
      <c r="F467" s="332" t="s">
        <v>1074</v>
      </c>
      <c r="G467" s="320">
        <v>42000</v>
      </c>
      <c r="H467" s="246">
        <f>+G467*0.18</f>
        <v>7560</v>
      </c>
      <c r="S467" s="246" t="s">
        <v>1019</v>
      </c>
      <c r="T467" s="256" t="s">
        <v>1046</v>
      </c>
      <c r="U467" s="246" t="s">
        <v>1075</v>
      </c>
      <c r="V467" s="246">
        <f>G467+H467-(G467*0.1)</f>
        <v>45360</v>
      </c>
      <c r="W467" s="246">
        <f>V467</f>
        <v>45360</v>
      </c>
      <c r="Y467" s="256" t="s">
        <v>1076</v>
      </c>
    </row>
    <row r="468" spans="1:25" ht="15" customHeight="1">
      <c r="B468" s="256" t="s">
        <v>1022</v>
      </c>
      <c r="C468" s="256" t="s">
        <v>1023</v>
      </c>
      <c r="E468" s="246">
        <v>26010</v>
      </c>
      <c r="F468" s="299" t="s">
        <v>764</v>
      </c>
      <c r="G468" s="257">
        <v>97500</v>
      </c>
      <c r="H468" s="246">
        <f>+G468*0.18</f>
        <v>17550</v>
      </c>
      <c r="S468" s="256" t="s">
        <v>1019</v>
      </c>
      <c r="T468" s="256" t="s">
        <v>1041</v>
      </c>
      <c r="U468" s="246" t="s">
        <v>1077</v>
      </c>
      <c r="V468" s="246">
        <f>G468+H468-(G468*0.1)</f>
        <v>105300</v>
      </c>
    </row>
    <row r="469" spans="1:25">
      <c r="B469" s="256" t="s">
        <v>1079</v>
      </c>
      <c r="C469" s="246" t="s">
        <v>1080</v>
      </c>
      <c r="E469" s="246">
        <v>26011</v>
      </c>
      <c r="F469" s="246" t="s">
        <v>274</v>
      </c>
      <c r="G469" s="257">
        <f>650000*0.2</f>
        <v>130000</v>
      </c>
      <c r="H469" s="246">
        <f t="shared" ref="H469:H473" si="75">G469*0.18</f>
        <v>23400</v>
      </c>
      <c r="S469" s="256" t="s">
        <v>1019</v>
      </c>
      <c r="T469" s="256" t="s">
        <v>1041</v>
      </c>
      <c r="U469" s="246" t="s">
        <v>1081</v>
      </c>
      <c r="V469" s="246">
        <f>G469+H469-(G469*0.1)</f>
        <v>140400</v>
      </c>
      <c r="W469" s="246" t="s">
        <v>1082</v>
      </c>
    </row>
    <row r="470" spans="1:25">
      <c r="A470" s="256"/>
      <c r="B470" s="256" t="s">
        <v>1079</v>
      </c>
      <c r="C470" s="246" t="s">
        <v>1080</v>
      </c>
      <c r="E470" s="246">
        <v>26011</v>
      </c>
      <c r="F470" s="246" t="s">
        <v>1083</v>
      </c>
      <c r="G470" s="257">
        <f>650000*0.2</f>
        <v>130000</v>
      </c>
      <c r="H470" s="246">
        <f t="shared" si="75"/>
        <v>23400</v>
      </c>
      <c r="S470" s="256" t="s">
        <v>1019</v>
      </c>
      <c r="T470" s="256" t="s">
        <v>1041</v>
      </c>
      <c r="U470" s="246" t="s">
        <v>1081</v>
      </c>
      <c r="V470" s="246">
        <f>G470+H470-(G470*0.1)</f>
        <v>140400</v>
      </c>
      <c r="W470" s="246">
        <v>163800</v>
      </c>
      <c r="Y470" s="246" t="s">
        <v>1084</v>
      </c>
    </row>
    <row r="471" spans="1:25">
      <c r="B471" s="246" t="s">
        <v>1085</v>
      </c>
      <c r="E471" s="246">
        <v>26011</v>
      </c>
      <c r="F471" s="246" t="s">
        <v>1086</v>
      </c>
      <c r="G471" s="246">
        <v>250000</v>
      </c>
      <c r="H471" s="246">
        <f t="shared" si="75"/>
        <v>45000</v>
      </c>
      <c r="P471" s="246">
        <f>G471*0.1</f>
        <v>25000</v>
      </c>
      <c r="S471" s="246" t="s">
        <v>1019</v>
      </c>
      <c r="T471" s="246" t="s">
        <v>1087</v>
      </c>
      <c r="U471" s="246" t="s">
        <v>1088</v>
      </c>
      <c r="V471" s="246">
        <f>G471+H471-P471</f>
        <v>270000</v>
      </c>
      <c r="W471" s="246">
        <v>270000</v>
      </c>
      <c r="Y471" s="246" t="s">
        <v>1089</v>
      </c>
    </row>
    <row r="472" spans="1:25">
      <c r="B472" s="246" t="s">
        <v>1090</v>
      </c>
      <c r="C472" s="246" t="s">
        <v>1091</v>
      </c>
      <c r="D472" s="246">
        <v>20</v>
      </c>
      <c r="E472" s="246">
        <v>26012</v>
      </c>
      <c r="F472" s="246" t="s">
        <v>1092</v>
      </c>
      <c r="G472" s="366">
        <f>250000*D472/100</f>
        <v>50000</v>
      </c>
      <c r="H472" s="489">
        <f t="shared" si="75"/>
        <v>9000</v>
      </c>
      <c r="I472" s="490">
        <v>4000</v>
      </c>
      <c r="P472" s="490">
        <f>G472*0.1</f>
        <v>5000</v>
      </c>
      <c r="S472" s="246" t="s">
        <v>1019</v>
      </c>
      <c r="T472" s="246" t="s">
        <v>1093</v>
      </c>
      <c r="U472" s="246" t="s">
        <v>1094</v>
      </c>
      <c r="V472" s="489">
        <f>G472+H472-P472</f>
        <v>54000</v>
      </c>
      <c r="W472" s="246">
        <v>45000</v>
      </c>
      <c r="Y472" s="246" t="s">
        <v>1095</v>
      </c>
    </row>
    <row r="473" spans="1:25">
      <c r="B473" s="246" t="s">
        <v>1090</v>
      </c>
      <c r="C473" s="246" t="s">
        <v>1091</v>
      </c>
      <c r="D473" s="246">
        <v>20</v>
      </c>
      <c r="E473" s="246">
        <v>26012</v>
      </c>
      <c r="F473" s="246" t="s">
        <v>1096</v>
      </c>
      <c r="G473" s="366">
        <f>250000*D473/100</f>
        <v>50000</v>
      </c>
      <c r="H473" s="489">
        <f t="shared" si="75"/>
        <v>9000</v>
      </c>
      <c r="P473" s="490">
        <f>G473*0.1</f>
        <v>5000</v>
      </c>
      <c r="S473" s="246" t="s">
        <v>1019</v>
      </c>
      <c r="T473" s="246" t="s">
        <v>1093</v>
      </c>
      <c r="U473" s="246" t="s">
        <v>1094</v>
      </c>
      <c r="V473" s="489">
        <f>G473+H473-P473</f>
        <v>54000</v>
      </c>
    </row>
    <row r="474" spans="1:25" ht="15.75" customHeight="1" thickBot="1">
      <c r="B474" s="246" t="s">
        <v>1098</v>
      </c>
      <c r="C474" s="246" t="s">
        <v>1099</v>
      </c>
      <c r="E474" s="246">
        <v>26013</v>
      </c>
      <c r="F474" s="288" t="s">
        <v>1100</v>
      </c>
      <c r="G474" s="359">
        <v>680000</v>
      </c>
      <c r="H474" s="246">
        <f>G474*0.18</f>
        <v>122400</v>
      </c>
      <c r="P474" s="490">
        <f>G474*0.1</f>
        <v>68000</v>
      </c>
      <c r="S474" s="246" t="s">
        <v>1019</v>
      </c>
      <c r="T474" s="256" t="s">
        <v>1041</v>
      </c>
      <c r="U474" s="256" t="s">
        <v>1101</v>
      </c>
      <c r="V474" s="246">
        <f>G474+H474-(G474*0.1)</f>
        <v>734400</v>
      </c>
      <c r="W474" s="246">
        <f>V474</f>
        <v>734400</v>
      </c>
      <c r="Y474" s="246" t="s">
        <v>1102</v>
      </c>
    </row>
    <row r="475" spans="1:25" ht="15.75" customHeight="1" thickBot="1">
      <c r="B475" s="246" t="s">
        <v>728</v>
      </c>
      <c r="E475" s="246">
        <v>2024023</v>
      </c>
      <c r="F475" s="346" t="s">
        <v>1103</v>
      </c>
      <c r="G475" s="359">
        <v>227186</v>
      </c>
      <c r="H475" s="246">
        <v>163440</v>
      </c>
      <c r="I475" s="246">
        <v>68100</v>
      </c>
      <c r="J475" s="246" t="s">
        <v>500</v>
      </c>
      <c r="K475" s="246">
        <v>1071440</v>
      </c>
      <c r="O475" s="246" t="s">
        <v>500</v>
      </c>
      <c r="P475" s="246">
        <f>G475+H475</f>
        <v>390626</v>
      </c>
      <c r="R475" s="246" t="s">
        <v>891</v>
      </c>
      <c r="S475" s="246" t="s">
        <v>839</v>
      </c>
      <c r="U475" s="321" t="s">
        <v>974</v>
      </c>
    </row>
    <row r="476" spans="1:25" ht="15.75" customHeight="1" thickBot="1">
      <c r="B476" s="246" t="s">
        <v>1104</v>
      </c>
      <c r="C476" s="246" t="s">
        <v>1091</v>
      </c>
      <c r="D476" s="246">
        <v>20</v>
      </c>
      <c r="E476" s="246">
        <v>26013</v>
      </c>
      <c r="F476" s="288" t="s">
        <v>1092</v>
      </c>
      <c r="G476" s="485">
        <f>200000*D476/100</f>
        <v>40000</v>
      </c>
      <c r="H476" s="489">
        <f>G476*0.18</f>
        <v>7200</v>
      </c>
      <c r="P476" s="490">
        <f>G476*0.1</f>
        <v>4000</v>
      </c>
      <c r="S476" s="246" t="s">
        <v>1019</v>
      </c>
      <c r="T476" s="246" t="s">
        <v>1093</v>
      </c>
      <c r="U476" s="246" t="s">
        <v>1094</v>
      </c>
      <c r="V476" s="489">
        <f>G476+H476-P476</f>
        <v>43200</v>
      </c>
    </row>
    <row r="477" spans="1:25" ht="15.75" customHeight="1" thickBot="1">
      <c r="B477" s="246" t="s">
        <v>1104</v>
      </c>
      <c r="C477" s="246" t="s">
        <v>1091</v>
      </c>
      <c r="D477" s="246">
        <v>20</v>
      </c>
      <c r="E477" s="246">
        <v>26013</v>
      </c>
      <c r="F477" s="288" t="s">
        <v>1096</v>
      </c>
      <c r="G477" s="485">
        <f>200000*D477/100</f>
        <v>40000</v>
      </c>
      <c r="H477" s="489">
        <f>G477*0.18</f>
        <v>7200</v>
      </c>
      <c r="P477" s="490">
        <f>G477*0.1</f>
        <v>4000</v>
      </c>
      <c r="S477" s="246" t="s">
        <v>1019</v>
      </c>
      <c r="T477" s="246" t="s">
        <v>1093</v>
      </c>
      <c r="U477" s="246" t="s">
        <v>1094</v>
      </c>
      <c r="V477" s="489">
        <f>G477+H477-P477</f>
        <v>43200</v>
      </c>
    </row>
    <row r="478" spans="1:25" ht="15" customHeight="1">
      <c r="A478" s="256"/>
      <c r="B478" s="256" t="s">
        <v>1017</v>
      </c>
      <c r="C478" s="256" t="s">
        <v>1018</v>
      </c>
      <c r="E478" s="246">
        <v>26014</v>
      </c>
      <c r="F478" s="299" t="s">
        <v>765</v>
      </c>
      <c r="G478" s="257">
        <v>405000</v>
      </c>
      <c r="H478" s="246">
        <f>+G478*0.18</f>
        <v>72900</v>
      </c>
      <c r="P478" s="490">
        <f>G478*0.1</f>
        <v>40500</v>
      </c>
      <c r="S478" s="246" t="s">
        <v>1019</v>
      </c>
      <c r="T478" s="256" t="s">
        <v>1041</v>
      </c>
      <c r="U478" s="246" t="s">
        <v>1106</v>
      </c>
      <c r="V478" s="246">
        <f>G478+H478-(G478*0.1)</f>
        <v>437400</v>
      </c>
    </row>
    <row r="479" spans="1:25">
      <c r="B479" s="246" t="s">
        <v>1107</v>
      </c>
      <c r="C479" s="246" t="s">
        <v>1091</v>
      </c>
      <c r="D479" s="246">
        <v>20</v>
      </c>
      <c r="E479" s="246">
        <v>26014</v>
      </c>
      <c r="F479" s="246" t="s">
        <v>1092</v>
      </c>
      <c r="G479" s="366">
        <f>200000*D479/100</f>
        <v>40000</v>
      </c>
      <c r="H479" s="489">
        <f>G479*0.18</f>
        <v>7200</v>
      </c>
      <c r="P479" s="490">
        <f>G479*0.1</f>
        <v>4000</v>
      </c>
      <c r="S479" s="246" t="s">
        <v>1019</v>
      </c>
      <c r="T479" s="246" t="s">
        <v>1093</v>
      </c>
      <c r="U479" s="246" t="s">
        <v>1094</v>
      </c>
      <c r="V479" s="489">
        <f>G479+H479-P479</f>
        <v>43200</v>
      </c>
      <c r="W479" s="489">
        <f>V479</f>
        <v>43200</v>
      </c>
      <c r="Y479" s="246" t="s">
        <v>1108</v>
      </c>
    </row>
    <row r="480" spans="1:25" ht="15" customHeight="1">
      <c r="A480" s="256"/>
      <c r="B480" s="256" t="s">
        <v>1022</v>
      </c>
      <c r="C480" s="256" t="s">
        <v>1023</v>
      </c>
      <c r="E480" s="246">
        <v>26015</v>
      </c>
      <c r="F480" s="299" t="s">
        <v>765</v>
      </c>
      <c r="G480" s="257">
        <v>97500</v>
      </c>
      <c r="H480" s="246">
        <f>+G480*0.18</f>
        <v>17550</v>
      </c>
      <c r="S480" s="256" t="s">
        <v>1019</v>
      </c>
      <c r="T480" s="256" t="s">
        <v>1041</v>
      </c>
      <c r="U480" s="246" t="s">
        <v>1109</v>
      </c>
      <c r="V480" s="246">
        <f>G480+H480-(G480*0.1)</f>
        <v>105300</v>
      </c>
    </row>
    <row r="481" spans="1:33" ht="45" customHeight="1">
      <c r="A481" s="256"/>
      <c r="B481" s="246" t="s">
        <v>889</v>
      </c>
      <c r="E481" s="246">
        <v>26015</v>
      </c>
      <c r="F481" s="267" t="s">
        <v>1110</v>
      </c>
      <c r="G481" s="294">
        <v>80201</v>
      </c>
      <c r="H481" s="246">
        <f>G481*0.18</f>
        <v>14436.18</v>
      </c>
      <c r="S481" s="295" t="s">
        <v>1019</v>
      </c>
      <c r="T481" s="295" t="s">
        <v>1093</v>
      </c>
      <c r="U481" s="246" t="s">
        <v>1111</v>
      </c>
      <c r="V481" s="246">
        <f>G481+H481-(G481*0.1)</f>
        <v>86617.079999999987</v>
      </c>
    </row>
    <row r="482" spans="1:33">
      <c r="A482" s="256"/>
      <c r="B482" s="256" t="s">
        <v>978</v>
      </c>
      <c r="E482" s="246">
        <v>26016</v>
      </c>
      <c r="F482" s="246" t="s">
        <v>1112</v>
      </c>
      <c r="G482" s="257">
        <v>38800</v>
      </c>
      <c r="H482" s="246">
        <f>G482*0.18</f>
        <v>6984</v>
      </c>
      <c r="S482" s="295" t="s">
        <v>1019</v>
      </c>
      <c r="T482" s="295" t="s">
        <v>1093</v>
      </c>
      <c r="U482" s="246" t="s">
        <v>1111</v>
      </c>
      <c r="V482" s="246">
        <f>G482+H482-(G482*0.1)</f>
        <v>41904</v>
      </c>
    </row>
    <row r="483" spans="1:33">
      <c r="B483" s="246" t="s">
        <v>1040</v>
      </c>
      <c r="C483" s="369">
        <v>1100000</v>
      </c>
      <c r="E483" s="246">
        <v>26016</v>
      </c>
      <c r="F483" s="246" t="s">
        <v>1113</v>
      </c>
      <c r="G483" s="246">
        <v>220000</v>
      </c>
      <c r="H483" s="246">
        <f>G483*0.18</f>
        <v>39600</v>
      </c>
      <c r="K483" s="246" t="s">
        <v>1019</v>
      </c>
      <c r="S483" s="246" t="s">
        <v>1019</v>
      </c>
      <c r="T483" s="246" t="s">
        <v>1041</v>
      </c>
      <c r="U483" s="246" t="s">
        <v>1114</v>
      </c>
      <c r="V483" s="246">
        <f>G483+H483-(G483*0.1)</f>
        <v>237600</v>
      </c>
      <c r="W483" s="246">
        <f>V483</f>
        <v>237600</v>
      </c>
      <c r="Y483" s="321">
        <v>46035</v>
      </c>
    </row>
    <row r="484" spans="1:33">
      <c r="B484" s="246" t="s">
        <v>1040</v>
      </c>
      <c r="C484" s="369">
        <v>1100000</v>
      </c>
      <c r="E484" s="246">
        <v>26016</v>
      </c>
      <c r="F484" s="246" t="s">
        <v>1115</v>
      </c>
      <c r="G484" s="246">
        <v>275000</v>
      </c>
      <c r="H484" s="246">
        <f>G484*0.18</f>
        <v>49500</v>
      </c>
      <c r="K484" s="246" t="s">
        <v>1019</v>
      </c>
      <c r="S484" s="246" t="s">
        <v>1019</v>
      </c>
      <c r="T484" s="246" t="s">
        <v>1041</v>
      </c>
      <c r="U484" s="246" t="s">
        <v>1114</v>
      </c>
      <c r="V484" s="246">
        <f>G484+H484-(G484*0.1)</f>
        <v>297000</v>
      </c>
      <c r="W484" s="246">
        <f>V484</f>
        <v>297000</v>
      </c>
      <c r="Y484" s="321">
        <v>46035</v>
      </c>
    </row>
    <row r="485" spans="1:33">
      <c r="B485" s="246" t="s">
        <v>1040</v>
      </c>
      <c r="C485" s="369">
        <v>1100000</v>
      </c>
      <c r="E485" s="246">
        <v>26016</v>
      </c>
      <c r="F485" s="246" t="s">
        <v>1116</v>
      </c>
      <c r="G485" s="246">
        <v>165000</v>
      </c>
      <c r="H485" s="246">
        <f>G485*0.18</f>
        <v>29700</v>
      </c>
      <c r="K485" s="246" t="s">
        <v>1019</v>
      </c>
      <c r="S485" s="246" t="s">
        <v>1019</v>
      </c>
      <c r="T485" s="246" t="s">
        <v>1041</v>
      </c>
      <c r="U485" s="246" t="s">
        <v>1114</v>
      </c>
      <c r="V485" s="246">
        <f>G485+H485-(G485*0.1)</f>
        <v>178200</v>
      </c>
      <c r="W485" s="246">
        <f>V485</f>
        <v>178200</v>
      </c>
      <c r="Y485" s="321">
        <v>46035</v>
      </c>
    </row>
    <row r="486" spans="1:33">
      <c r="B486" s="246" t="s">
        <v>692</v>
      </c>
      <c r="C486" s="246" t="s">
        <v>142</v>
      </c>
      <c r="E486" s="246">
        <v>26017</v>
      </c>
      <c r="F486" s="298" t="s">
        <v>1117</v>
      </c>
      <c r="G486" s="257">
        <f>(8128590*0.1*0.9)+294268</f>
        <v>1025841.1</v>
      </c>
      <c r="H486" s="246">
        <f>G486*0.18</f>
        <v>184651.39799999999</v>
      </c>
      <c r="I486" s="246">
        <f>G486*0.1</f>
        <v>102584.11</v>
      </c>
      <c r="O486" s="246" t="s">
        <v>500</v>
      </c>
      <c r="P486" s="246">
        <f>G486+H486</f>
        <v>1210492.4979999999</v>
      </c>
      <c r="R486" s="246" t="s">
        <v>887</v>
      </c>
      <c r="S486" s="246" t="s">
        <v>1019</v>
      </c>
      <c r="T486" s="246" t="s">
        <v>1093</v>
      </c>
      <c r="U486" s="321" t="s">
        <v>1118</v>
      </c>
      <c r="V486" s="246">
        <f>G486+H486-I486+N486</f>
        <v>1107908.3879999998</v>
      </c>
      <c r="W486" s="246">
        <v>923255</v>
      </c>
      <c r="Y486" s="246" t="s">
        <v>1119</v>
      </c>
    </row>
    <row r="487" spans="1:33">
      <c r="B487" s="246" t="s">
        <v>1017</v>
      </c>
      <c r="C487" s="369"/>
      <c r="E487" s="246">
        <v>26017</v>
      </c>
      <c r="F487" s="246" t="s">
        <v>1120</v>
      </c>
      <c r="G487" s="246">
        <v>12600</v>
      </c>
      <c r="H487" s="246">
        <f>G487*0.18</f>
        <v>2268</v>
      </c>
      <c r="P487" s="246">
        <f>G487+H487</f>
        <v>14868</v>
      </c>
      <c r="S487" s="246" t="s">
        <v>1019</v>
      </c>
      <c r="T487" s="246" t="s">
        <v>1041</v>
      </c>
      <c r="U487" s="246" t="s">
        <v>1114</v>
      </c>
      <c r="V487" s="246">
        <f>G487+H487-I487+N487</f>
        <v>14868</v>
      </c>
      <c r="W487" s="246">
        <v>13608</v>
      </c>
      <c r="Y487" s="246" t="s">
        <v>1121</v>
      </c>
      <c r="AG487" s="256" t="s">
        <v>1122</v>
      </c>
    </row>
    <row r="488" spans="1:33" ht="15" customHeight="1">
      <c r="A488" s="256"/>
      <c r="B488" s="256" t="s">
        <v>1022</v>
      </c>
      <c r="C488" s="256" t="s">
        <v>1023</v>
      </c>
      <c r="E488" s="246">
        <v>26018</v>
      </c>
      <c r="F488" s="299" t="s">
        <v>766</v>
      </c>
      <c r="G488" s="294">
        <v>65000</v>
      </c>
      <c r="H488" s="246">
        <f>+G488*0.18</f>
        <v>11700</v>
      </c>
      <c r="S488" s="256" t="s">
        <v>1019</v>
      </c>
      <c r="T488" s="256" t="s">
        <v>1041</v>
      </c>
      <c r="U488" s="246" t="s">
        <v>1123</v>
      </c>
      <c r="V488" s="246">
        <f>G488+H488-(G488*0.1)</f>
        <v>70200</v>
      </c>
    </row>
    <row r="489" spans="1:33">
      <c r="B489" s="256" t="s">
        <v>1072</v>
      </c>
      <c r="C489" s="256" t="s">
        <v>1073</v>
      </c>
      <c r="E489" s="246" t="s">
        <v>1071</v>
      </c>
      <c r="F489" s="246" t="s">
        <v>1125</v>
      </c>
      <c r="G489" s="257">
        <v>243000</v>
      </c>
      <c r="R489" s="246" t="s">
        <v>988</v>
      </c>
      <c r="S489" s="246" t="s">
        <v>973</v>
      </c>
      <c r="U489" s="246" t="s">
        <v>1126</v>
      </c>
    </row>
    <row r="490" spans="1:33">
      <c r="B490" s="246" t="s">
        <v>1127</v>
      </c>
      <c r="E490" s="246">
        <v>26019</v>
      </c>
      <c r="F490" s="491" t="s">
        <v>1128</v>
      </c>
      <c r="G490" s="246">
        <v>200000</v>
      </c>
      <c r="H490" s="246">
        <f>G490*0.18</f>
        <v>36000</v>
      </c>
      <c r="I490" s="246">
        <v>30000</v>
      </c>
      <c r="P490" s="246">
        <f>G490*0.1</f>
        <v>20000</v>
      </c>
      <c r="Q490" s="246">
        <v>30000</v>
      </c>
      <c r="S490" s="246" t="s">
        <v>1019</v>
      </c>
      <c r="T490" s="246" t="s">
        <v>1129</v>
      </c>
      <c r="U490" s="246" t="s">
        <v>1130</v>
      </c>
      <c r="V490" s="246">
        <f>G490+H490-P490</f>
        <v>216000</v>
      </c>
      <c r="W490" s="246">
        <f>V490</f>
        <v>216000</v>
      </c>
      <c r="Y490" s="246" t="s">
        <v>1131</v>
      </c>
    </row>
    <row r="491" spans="1:33">
      <c r="B491" s="246" t="s">
        <v>1132</v>
      </c>
      <c r="E491" s="246">
        <v>26020</v>
      </c>
      <c r="F491" s="246" t="s">
        <v>1133</v>
      </c>
      <c r="G491" s="246">
        <v>300000</v>
      </c>
      <c r="H491" s="246">
        <f>G491*0.18</f>
        <v>54000</v>
      </c>
      <c r="P491" s="246">
        <f>G491*0.1</f>
        <v>30000</v>
      </c>
      <c r="S491" s="246" t="s">
        <v>1019</v>
      </c>
      <c r="T491" s="246" t="s">
        <v>1129</v>
      </c>
      <c r="U491" s="246" t="s">
        <v>1130</v>
      </c>
      <c r="V491" s="246">
        <f>G491+H491-P491</f>
        <v>324000</v>
      </c>
      <c r="W491" s="246">
        <f>V491</f>
        <v>324000</v>
      </c>
      <c r="Y491" s="246" t="s">
        <v>1131</v>
      </c>
    </row>
    <row r="492" spans="1:33" ht="45" customHeight="1">
      <c r="B492" s="246" t="s">
        <v>1134</v>
      </c>
      <c r="C492" s="250" t="s">
        <v>1135</v>
      </c>
      <c r="E492" s="246">
        <v>26021</v>
      </c>
      <c r="F492" s="246" t="s">
        <v>1136</v>
      </c>
      <c r="G492" s="246">
        <v>400000</v>
      </c>
      <c r="H492" s="246">
        <f>+G492*0.18</f>
        <v>72000</v>
      </c>
      <c r="S492" s="246" t="s">
        <v>1019</v>
      </c>
      <c r="T492" s="246" t="s">
        <v>1129</v>
      </c>
      <c r="U492" s="246" t="s">
        <v>1137</v>
      </c>
      <c r="V492" s="246">
        <f>G492+H492-(G492*0.1)</f>
        <v>432000</v>
      </c>
      <c r="W492" s="246">
        <f>V492</f>
        <v>432000</v>
      </c>
      <c r="Y492" s="246" t="s">
        <v>1138</v>
      </c>
    </row>
    <row r="493" spans="1:33">
      <c r="B493" s="256" t="s">
        <v>1072</v>
      </c>
      <c r="C493" s="256" t="s">
        <v>1073</v>
      </c>
      <c r="E493" s="246">
        <v>26021</v>
      </c>
      <c r="F493" s="246" t="s">
        <v>1158</v>
      </c>
      <c r="G493" s="257">
        <v>285000</v>
      </c>
      <c r="H493" s="246">
        <f>G493*0.18</f>
        <v>51300</v>
      </c>
      <c r="S493" s="246" t="s">
        <v>1019</v>
      </c>
      <c r="T493" s="246" t="s">
        <v>1046</v>
      </c>
      <c r="U493" s="246" t="s">
        <v>1159</v>
      </c>
      <c r="V493" s="246">
        <f>G493+H493-(G493*0.1)</f>
        <v>307800</v>
      </c>
    </row>
    <row r="494" spans="1:33">
      <c r="B494" s="256" t="s">
        <v>1014</v>
      </c>
      <c r="C494" s="246" t="s">
        <v>1015</v>
      </c>
      <c r="E494" s="246">
        <v>26022</v>
      </c>
      <c r="F494" s="246" t="s">
        <v>399</v>
      </c>
      <c r="G494" s="257">
        <v>210000</v>
      </c>
      <c r="H494" s="246">
        <f>G494*0.18</f>
        <v>37800</v>
      </c>
      <c r="S494" s="256" t="s">
        <v>1019</v>
      </c>
      <c r="T494" s="256" t="s">
        <v>1041</v>
      </c>
      <c r="U494" s="246" t="s">
        <v>1139</v>
      </c>
      <c r="V494" s="246">
        <f>G494+H494-(G494*0.1)</f>
        <v>226800</v>
      </c>
    </row>
    <row r="495" spans="1:33">
      <c r="B495" s="256" t="s">
        <v>1014</v>
      </c>
      <c r="C495" s="246" t="s">
        <v>1015</v>
      </c>
      <c r="E495" s="246">
        <v>26022</v>
      </c>
      <c r="F495" s="246" t="s">
        <v>1055</v>
      </c>
      <c r="G495" s="257">
        <f>210000/2</f>
        <v>105000</v>
      </c>
      <c r="H495" s="246">
        <f>+G495*0.18</f>
        <v>18900</v>
      </c>
      <c r="J495" s="256" t="s">
        <v>1019</v>
      </c>
      <c r="S495" s="256" t="s">
        <v>1019</v>
      </c>
      <c r="T495" s="256" t="s">
        <v>1041</v>
      </c>
      <c r="U495" s="246" t="s">
        <v>1139</v>
      </c>
      <c r="V495" s="246">
        <f>G495+H495-(G495*0.1)</f>
        <v>113400</v>
      </c>
    </row>
    <row r="496" spans="1:33">
      <c r="B496" s="256" t="s">
        <v>1014</v>
      </c>
      <c r="C496" s="246" t="s">
        <v>1015</v>
      </c>
      <c r="E496" s="246">
        <v>26023</v>
      </c>
      <c r="F496" s="246" t="s">
        <v>571</v>
      </c>
      <c r="G496" s="257">
        <v>140000</v>
      </c>
      <c r="H496" s="246">
        <f>G496*0.18</f>
        <v>25200</v>
      </c>
      <c r="S496" s="256" t="s">
        <v>1019</v>
      </c>
      <c r="T496" s="256"/>
      <c r="U496" s="246" t="s">
        <v>1162</v>
      </c>
      <c r="V496" s="246">
        <f>G496+H496-(G496*0.1)</f>
        <v>151200</v>
      </c>
    </row>
    <row r="497" spans="1:22">
      <c r="B497" s="246" t="s">
        <v>1104</v>
      </c>
      <c r="C497" s="246" t="s">
        <v>1091</v>
      </c>
      <c r="D497" s="246">
        <v>20</v>
      </c>
      <c r="E497" s="491">
        <v>26023</v>
      </c>
      <c r="F497" s="246" t="s">
        <v>883</v>
      </c>
      <c r="G497" s="366">
        <f>200000*D497/100</f>
        <v>40000</v>
      </c>
      <c r="R497" s="491" t="s">
        <v>1145</v>
      </c>
      <c r="S497" s="246" t="s">
        <v>1124</v>
      </c>
      <c r="T497" s="491" t="s">
        <v>1046</v>
      </c>
      <c r="U497" s="491" t="s">
        <v>1146</v>
      </c>
    </row>
    <row r="498" spans="1:22">
      <c r="B498" s="246" t="s">
        <v>1104</v>
      </c>
      <c r="C498" s="246" t="s">
        <v>1091</v>
      </c>
      <c r="D498" s="246">
        <v>10</v>
      </c>
      <c r="E498" s="491">
        <v>26023</v>
      </c>
      <c r="F498" s="246" t="s">
        <v>792</v>
      </c>
      <c r="G498" s="366">
        <f>200000*D498/100</f>
        <v>20000</v>
      </c>
      <c r="R498" s="491" t="s">
        <v>1145</v>
      </c>
      <c r="S498" s="246" t="s">
        <v>1019</v>
      </c>
      <c r="T498" s="491" t="s">
        <v>1046</v>
      </c>
      <c r="U498" s="491" t="s">
        <v>1146</v>
      </c>
      <c r="V498" s="246">
        <f>G498+H498-(G498*0.1)</f>
        <v>18000</v>
      </c>
    </row>
    <row r="499" spans="1:22">
      <c r="B499" s="246" t="s">
        <v>1104</v>
      </c>
      <c r="C499" s="246" t="s">
        <v>1091</v>
      </c>
      <c r="D499" s="246">
        <v>25</v>
      </c>
      <c r="E499" s="491">
        <v>26023</v>
      </c>
      <c r="F499" s="246" t="s">
        <v>1167</v>
      </c>
      <c r="G499" s="366">
        <f>200000*D499/100</f>
        <v>50000</v>
      </c>
      <c r="R499" s="491" t="s">
        <v>1145</v>
      </c>
      <c r="S499" s="246" t="s">
        <v>1019</v>
      </c>
      <c r="T499" s="491" t="s">
        <v>1046</v>
      </c>
      <c r="U499" s="491" t="s">
        <v>1146</v>
      </c>
      <c r="V499" s="246">
        <f>G499+H499-(G499*0.1)</f>
        <v>45000</v>
      </c>
    </row>
    <row r="500" spans="1:22">
      <c r="B500" s="246" t="s">
        <v>1090</v>
      </c>
      <c r="C500" s="246" t="s">
        <v>1091</v>
      </c>
      <c r="D500" s="246">
        <v>20</v>
      </c>
      <c r="E500" s="491">
        <v>26023</v>
      </c>
      <c r="F500" s="246" t="s">
        <v>883</v>
      </c>
      <c r="G500" s="366">
        <f>250000*D500/100</f>
        <v>50000</v>
      </c>
      <c r="R500" s="491" t="s">
        <v>1145</v>
      </c>
      <c r="S500" s="246" t="s">
        <v>1124</v>
      </c>
      <c r="T500" s="491" t="s">
        <v>1093</v>
      </c>
      <c r="U500" s="491" t="s">
        <v>1146</v>
      </c>
    </row>
    <row r="501" spans="1:22" ht="28.5" customHeight="1">
      <c r="B501" s="246" t="s">
        <v>1090</v>
      </c>
      <c r="C501" s="246" t="s">
        <v>1091</v>
      </c>
      <c r="D501" s="246">
        <v>10</v>
      </c>
      <c r="E501">
        <v>26023</v>
      </c>
      <c r="F501" s="246" t="s">
        <v>792</v>
      </c>
      <c r="G501" s="366">
        <f>250000*D501/100</f>
        <v>25000</v>
      </c>
      <c r="R501" t="s">
        <v>1145</v>
      </c>
      <c r="S501" s="246" t="s">
        <v>1019</v>
      </c>
      <c r="T501" s="491" t="s">
        <v>1093</v>
      </c>
      <c r="U501" t="s">
        <v>1146</v>
      </c>
      <c r="V501" s="246">
        <f t="shared" ref="V501:V507" si="76">G501+H501-(G501*0.1)</f>
        <v>22500</v>
      </c>
    </row>
    <row r="502" spans="1:22" ht="15.75" customHeight="1" thickBot="1">
      <c r="B502" s="246" t="s">
        <v>1090</v>
      </c>
      <c r="C502" s="246" t="s">
        <v>1091</v>
      </c>
      <c r="D502" s="246">
        <v>25</v>
      </c>
      <c r="E502">
        <v>26023</v>
      </c>
      <c r="F502" s="288" t="s">
        <v>1167</v>
      </c>
      <c r="G502" s="508">
        <f>250000*D502/100</f>
        <v>62500</v>
      </c>
      <c r="R502" t="s">
        <v>1145</v>
      </c>
      <c r="S502" s="246" t="s">
        <v>1019</v>
      </c>
      <c r="T502" s="491" t="s">
        <v>1093</v>
      </c>
      <c r="U502" t="s">
        <v>1146</v>
      </c>
      <c r="V502" s="246">
        <f t="shared" si="76"/>
        <v>56250</v>
      </c>
    </row>
    <row r="503" spans="1:22" ht="15.75" customHeight="1" thickBot="1">
      <c r="B503" s="491" t="s">
        <v>1192</v>
      </c>
      <c r="C503" s="491" t="s">
        <v>1193</v>
      </c>
      <c r="D503" s="491">
        <v>20</v>
      </c>
      <c r="E503" s="491">
        <v>26024</v>
      </c>
      <c r="F503" s="507" t="s">
        <v>1194</v>
      </c>
      <c r="G503" s="507">
        <v>270000</v>
      </c>
      <c r="R503" s="491" t="s">
        <v>1145</v>
      </c>
      <c r="S503" s="491" t="s">
        <v>1019</v>
      </c>
      <c r="T503" s="491" t="s">
        <v>1046</v>
      </c>
      <c r="U503" s="491" t="s">
        <v>1146</v>
      </c>
      <c r="V503" s="246">
        <f t="shared" si="76"/>
        <v>243000</v>
      </c>
    </row>
    <row r="504" spans="1:22">
      <c r="A504" s="256"/>
      <c r="B504" s="256" t="s">
        <v>832</v>
      </c>
      <c r="C504" s="256" t="s">
        <v>833</v>
      </c>
      <c r="E504">
        <v>26025</v>
      </c>
      <c r="F504" s="354" t="s">
        <v>1144</v>
      </c>
      <c r="G504" s="355">
        <v>26250</v>
      </c>
      <c r="H504" s="246">
        <f t="shared" ref="H504:H509" si="77">G504*0.18</f>
        <v>4725</v>
      </c>
      <c r="R504" t="s">
        <v>1145</v>
      </c>
      <c r="S504" s="256" t="s">
        <v>1019</v>
      </c>
      <c r="T504" s="509" t="s">
        <v>1046</v>
      </c>
      <c r="U504" t="s">
        <v>1146</v>
      </c>
      <c r="V504" s="246">
        <f t="shared" si="76"/>
        <v>28350</v>
      </c>
    </row>
    <row r="505" spans="1:22">
      <c r="A505" s="256"/>
      <c r="B505" s="256" t="s">
        <v>832</v>
      </c>
      <c r="C505" s="256" t="s">
        <v>833</v>
      </c>
      <c r="E505">
        <v>26025</v>
      </c>
      <c r="F505" s="266" t="s">
        <v>1147</v>
      </c>
      <c r="G505" s="257">
        <v>26250</v>
      </c>
      <c r="H505" s="246">
        <f t="shared" si="77"/>
        <v>4725</v>
      </c>
      <c r="R505" t="s">
        <v>1145</v>
      </c>
      <c r="S505" s="256" t="s">
        <v>1019</v>
      </c>
      <c r="T505" s="509" t="s">
        <v>1046</v>
      </c>
      <c r="U505" t="s">
        <v>1146</v>
      </c>
      <c r="V505" s="246">
        <f t="shared" si="76"/>
        <v>28350</v>
      </c>
    </row>
    <row r="506" spans="1:22">
      <c r="A506" s="256"/>
      <c r="B506" s="256" t="s">
        <v>832</v>
      </c>
      <c r="C506" s="256" t="s">
        <v>833</v>
      </c>
      <c r="E506" s="491">
        <v>26025</v>
      </c>
      <c r="F506" s="266" t="s">
        <v>1149</v>
      </c>
      <c r="G506" s="257">
        <v>78750</v>
      </c>
      <c r="H506" s="246">
        <f t="shared" si="77"/>
        <v>14175</v>
      </c>
      <c r="R506" s="491" t="s">
        <v>1145</v>
      </c>
      <c r="S506" s="256" t="s">
        <v>1019</v>
      </c>
      <c r="T506" s="491" t="s">
        <v>1046</v>
      </c>
      <c r="U506" s="491" t="s">
        <v>1146</v>
      </c>
      <c r="V506" s="246">
        <f t="shared" si="76"/>
        <v>85050</v>
      </c>
    </row>
    <row r="507" spans="1:22" ht="15.75" customHeight="1" thickBot="1">
      <c r="A507" s="256"/>
      <c r="B507" s="256" t="s">
        <v>832</v>
      </c>
      <c r="C507" s="256" t="s">
        <v>833</v>
      </c>
      <c r="E507" s="491">
        <v>26025</v>
      </c>
      <c r="F507" s="289" t="s">
        <v>1150</v>
      </c>
      <c r="G507" s="349">
        <v>52500</v>
      </c>
      <c r="H507" s="246">
        <f t="shared" si="77"/>
        <v>9450</v>
      </c>
      <c r="R507" s="491" t="s">
        <v>1145</v>
      </c>
      <c r="S507" s="256" t="s">
        <v>1019</v>
      </c>
      <c r="T507" s="491" t="s">
        <v>1046</v>
      </c>
      <c r="U507" s="491" t="s">
        <v>1146</v>
      </c>
      <c r="V507" s="246">
        <f t="shared" si="76"/>
        <v>56700</v>
      </c>
    </row>
    <row r="508" spans="1:22" ht="15.75" customHeight="1" thickBot="1">
      <c r="B508" s="246" t="s">
        <v>710</v>
      </c>
      <c r="F508" s="297" t="s">
        <v>1140</v>
      </c>
      <c r="G508" s="320">
        <v>280000</v>
      </c>
      <c r="H508" s="246">
        <f t="shared" si="77"/>
        <v>50400</v>
      </c>
      <c r="I508" s="246">
        <f>G508*0.1</f>
        <v>28000</v>
      </c>
      <c r="O508" s="246" t="s">
        <v>500</v>
      </c>
      <c r="P508" s="246">
        <f>G508+H508</f>
        <v>330400</v>
      </c>
      <c r="S508" s="246" t="s">
        <v>1124</v>
      </c>
      <c r="V508" s="246">
        <f>G508+H508-I508+N508</f>
        <v>302400</v>
      </c>
    </row>
    <row r="509" spans="1:22" ht="15.75" customHeight="1" thickBot="1">
      <c r="A509" s="256"/>
      <c r="B509" s="246" t="s">
        <v>710</v>
      </c>
      <c r="F509" s="297" t="s">
        <v>1141</v>
      </c>
      <c r="G509" s="320">
        <v>280000</v>
      </c>
      <c r="H509" s="246">
        <f t="shared" si="77"/>
        <v>50400</v>
      </c>
      <c r="I509" s="246">
        <f>G509*0.1</f>
        <v>28000</v>
      </c>
      <c r="O509" s="246" t="s">
        <v>500</v>
      </c>
      <c r="P509" s="246">
        <f>G509+H509</f>
        <v>330400</v>
      </c>
      <c r="S509" s="246" t="s">
        <v>1124</v>
      </c>
      <c r="V509" s="246">
        <f>G509+H509-I509+N509</f>
        <v>302400</v>
      </c>
    </row>
    <row r="510" spans="1:22" ht="15.75" customHeight="1" thickBot="1">
      <c r="B510" s="256" t="s">
        <v>1072</v>
      </c>
      <c r="C510" s="256" t="s">
        <v>1073</v>
      </c>
      <c r="F510" s="305" t="s">
        <v>1142</v>
      </c>
      <c r="G510" s="320">
        <v>95000</v>
      </c>
      <c r="S510" s="246" t="s">
        <v>1124</v>
      </c>
    </row>
    <row r="511" spans="1:22" ht="15.75" customHeight="1" thickBot="1">
      <c r="A511" s="256"/>
      <c r="B511" s="256" t="s">
        <v>1072</v>
      </c>
      <c r="C511" s="256" t="s">
        <v>1073</v>
      </c>
      <c r="F511" s="332" t="s">
        <v>1143</v>
      </c>
      <c r="G511" s="320">
        <v>95000</v>
      </c>
      <c r="S511" s="246" t="s">
        <v>1124</v>
      </c>
    </row>
    <row r="512" spans="1:22" ht="15.75" customHeight="1" thickBot="1">
      <c r="A512" s="256"/>
      <c r="B512" s="256" t="s">
        <v>835</v>
      </c>
      <c r="C512" s="256" t="s">
        <v>833</v>
      </c>
      <c r="F512" s="297" t="s">
        <v>864</v>
      </c>
      <c r="G512" s="320">
        <v>255000</v>
      </c>
      <c r="H512" s="246">
        <f t="shared" ref="H512:H518" si="78">G512*0.18</f>
        <v>45900</v>
      </c>
      <c r="S512" s="256" t="s">
        <v>1124</v>
      </c>
      <c r="T512" s="256"/>
      <c r="V512" s="246">
        <f t="shared" ref="V512:V513" si="79">G512+H512-(G512*0.1)</f>
        <v>275400</v>
      </c>
    </row>
    <row r="513" spans="1:22" ht="15.75" customHeight="1" thickBot="1">
      <c r="B513" s="246" t="s">
        <v>710</v>
      </c>
      <c r="F513" s="297" t="s">
        <v>678</v>
      </c>
      <c r="G513" s="320">
        <v>560000</v>
      </c>
      <c r="H513" s="246">
        <f t="shared" si="78"/>
        <v>100800</v>
      </c>
      <c r="I513" s="246">
        <f>G513*0.1</f>
        <v>56000</v>
      </c>
      <c r="O513" s="246" t="s">
        <v>500</v>
      </c>
      <c r="P513" s="246">
        <f>G513+H513</f>
        <v>660800</v>
      </c>
      <c r="S513" s="256" t="s">
        <v>1124</v>
      </c>
      <c r="U513" s="256"/>
      <c r="V513" s="246">
        <f t="shared" si="79"/>
        <v>604800</v>
      </c>
    </row>
    <row r="514" spans="1:22">
      <c r="A514" s="256"/>
      <c r="B514" s="256" t="s">
        <v>736</v>
      </c>
      <c r="F514" s="269" t="s">
        <v>1148</v>
      </c>
      <c r="G514" s="273">
        <v>40000</v>
      </c>
      <c r="H514" s="246">
        <f t="shared" si="78"/>
        <v>7200</v>
      </c>
      <c r="I514" s="246">
        <f>G514*0.075</f>
        <v>3000</v>
      </c>
      <c r="O514" s="246" t="s">
        <v>500</v>
      </c>
      <c r="P514" s="246">
        <f>G514+H514</f>
        <v>47200</v>
      </c>
      <c r="S514" s="246" t="s">
        <v>1124</v>
      </c>
      <c r="V514" s="246">
        <f>G514+H514-I514+N514</f>
        <v>44200</v>
      </c>
    </row>
    <row r="515" spans="1:22">
      <c r="B515" s="256" t="s">
        <v>1072</v>
      </c>
      <c r="C515" s="256" t="s">
        <v>1073</v>
      </c>
      <c r="F515" s="246" t="s">
        <v>1151</v>
      </c>
      <c r="G515" s="257">
        <v>380000</v>
      </c>
      <c r="H515" s="246">
        <f t="shared" si="78"/>
        <v>68400</v>
      </c>
      <c r="S515" s="256" t="s">
        <v>1124</v>
      </c>
      <c r="V515" s="246">
        <f t="shared" ref="V515:V518" si="80">G515+H515-(G515*0.1)</f>
        <v>410400</v>
      </c>
    </row>
    <row r="516" spans="1:22">
      <c r="B516" s="256" t="s">
        <v>1072</v>
      </c>
      <c r="C516" s="256" t="s">
        <v>1073</v>
      </c>
      <c r="F516" s="246" t="s">
        <v>1152</v>
      </c>
      <c r="G516" s="257">
        <v>380000</v>
      </c>
      <c r="H516" s="246">
        <f t="shared" si="78"/>
        <v>68400</v>
      </c>
      <c r="S516" s="256" t="s">
        <v>1124</v>
      </c>
      <c r="V516" s="246">
        <f t="shared" si="80"/>
        <v>410400</v>
      </c>
    </row>
    <row r="517" spans="1:22">
      <c r="A517" s="256"/>
      <c r="B517" s="246" t="s">
        <v>914</v>
      </c>
      <c r="F517" s="256" t="s">
        <v>1153</v>
      </c>
      <c r="G517" s="257">
        <f>125000/2</f>
        <v>62500</v>
      </c>
      <c r="H517" s="246">
        <f t="shared" si="78"/>
        <v>11250</v>
      </c>
      <c r="S517" s="256" t="s">
        <v>1124</v>
      </c>
      <c r="V517" s="246">
        <f t="shared" si="80"/>
        <v>67500</v>
      </c>
    </row>
    <row r="518" spans="1:22" ht="15.75" customHeight="1" thickBot="1">
      <c r="A518" s="256"/>
      <c r="B518" s="246" t="s">
        <v>914</v>
      </c>
      <c r="F518" s="288" t="s">
        <v>1154</v>
      </c>
      <c r="G518" s="349">
        <v>50000</v>
      </c>
      <c r="H518" s="246">
        <f t="shared" si="78"/>
        <v>9000</v>
      </c>
      <c r="S518" s="256" t="s">
        <v>1124</v>
      </c>
      <c r="V518" s="246">
        <f t="shared" si="80"/>
        <v>54000</v>
      </c>
    </row>
    <row r="519" spans="1:22" ht="15.75" customHeight="1" thickBot="1">
      <c r="B519" s="246" t="s">
        <v>1026</v>
      </c>
      <c r="C519" s="246" t="s">
        <v>1027</v>
      </c>
      <c r="F519" s="246" t="s">
        <v>598</v>
      </c>
      <c r="G519" s="349">
        <v>180000</v>
      </c>
      <c r="S519" s="256" t="s">
        <v>1124</v>
      </c>
      <c r="T519" s="256"/>
    </row>
    <row r="520" spans="1:22" ht="30.75" customHeight="1" thickBot="1">
      <c r="A520" s="256"/>
      <c r="B520" s="246" t="s">
        <v>1026</v>
      </c>
      <c r="C520" s="246" t="s">
        <v>1027</v>
      </c>
      <c r="F520" s="246" t="s">
        <v>1155</v>
      </c>
      <c r="G520" s="349">
        <v>90000</v>
      </c>
      <c r="S520" s="256" t="s">
        <v>1124</v>
      </c>
      <c r="T520" s="256"/>
    </row>
    <row r="521" spans="1:22" ht="15.75" customHeight="1" thickBot="1">
      <c r="A521" s="256"/>
      <c r="B521" s="246" t="s">
        <v>1026</v>
      </c>
      <c r="C521" s="246" t="s">
        <v>1027</v>
      </c>
      <c r="F521" s="483" t="s">
        <v>907</v>
      </c>
      <c r="G521" s="349">
        <v>90000</v>
      </c>
      <c r="S521" s="256" t="s">
        <v>1124</v>
      </c>
      <c r="T521" s="256"/>
    </row>
    <row r="522" spans="1:22" ht="15.75" customHeight="1" thickBot="1">
      <c r="A522" s="256"/>
      <c r="B522" s="246" t="s">
        <v>914</v>
      </c>
      <c r="F522" s="483" t="s">
        <v>1156</v>
      </c>
      <c r="G522" s="349">
        <v>50000</v>
      </c>
      <c r="H522" s="246">
        <f>G522*0.18</f>
        <v>9000</v>
      </c>
      <c r="S522" s="256" t="s">
        <v>1124</v>
      </c>
      <c r="V522" s="246">
        <f>G522+H522-(G522*0.1)</f>
        <v>54000</v>
      </c>
    </row>
    <row r="523" spans="1:22" ht="15.75" customHeight="1" thickBot="1">
      <c r="B523" s="256" t="s">
        <v>1072</v>
      </c>
      <c r="C523" s="256" t="s">
        <v>1073</v>
      </c>
      <c r="F523" s="483" t="s">
        <v>1157</v>
      </c>
      <c r="G523" s="349">
        <v>380000</v>
      </c>
      <c r="H523" s="246">
        <f>G523*0.18</f>
        <v>68400</v>
      </c>
      <c r="S523" s="246" t="s">
        <v>1124</v>
      </c>
      <c r="V523" s="246">
        <f>G523+H523-(G523*0.1)</f>
        <v>410400</v>
      </c>
    </row>
    <row r="524" spans="1:22" ht="15.75" customHeight="1" thickBot="1">
      <c r="B524" s="256" t="s">
        <v>1014</v>
      </c>
      <c r="C524" s="246" t="s">
        <v>1015</v>
      </c>
      <c r="F524" s="483" t="s">
        <v>598</v>
      </c>
      <c r="G524" s="349">
        <v>140000</v>
      </c>
      <c r="H524" s="246">
        <f>G524*0.18</f>
        <v>25200</v>
      </c>
      <c r="S524" s="256" t="s">
        <v>1124</v>
      </c>
      <c r="T524" s="256"/>
      <c r="V524" s="246">
        <f>G524+H524-(G524*0.1)</f>
        <v>151200</v>
      </c>
    </row>
    <row r="525" spans="1:22" ht="15.75" customHeight="1" thickBot="1">
      <c r="A525" s="256"/>
      <c r="B525" s="256" t="s">
        <v>1014</v>
      </c>
      <c r="C525" s="246" t="s">
        <v>1015</v>
      </c>
      <c r="F525" s="483" t="s">
        <v>1155</v>
      </c>
      <c r="G525" s="349">
        <v>70000</v>
      </c>
      <c r="H525" s="246">
        <f>G525*0.18</f>
        <v>12600</v>
      </c>
      <c r="S525" s="256" t="s">
        <v>1124</v>
      </c>
      <c r="T525" s="256"/>
      <c r="V525" s="246">
        <f>G525+H525-(G525*0.1)</f>
        <v>75600</v>
      </c>
    </row>
    <row r="526" spans="1:22" ht="15">
      <c r="A526" s="256"/>
      <c r="B526" s="256" t="s">
        <v>1017</v>
      </c>
      <c r="C526" s="256" t="s">
        <v>1018</v>
      </c>
      <c r="F526" s="299" t="s">
        <v>766</v>
      </c>
      <c r="G526" s="344">
        <v>405000</v>
      </c>
      <c r="S526" s="256" t="s">
        <v>1124</v>
      </c>
      <c r="T526" s="256"/>
    </row>
    <row r="527" spans="1:22" ht="15">
      <c r="A527" s="256"/>
      <c r="B527" s="256" t="s">
        <v>1017</v>
      </c>
      <c r="C527" s="256" t="s">
        <v>1018</v>
      </c>
      <c r="F527" s="299" t="s">
        <v>767</v>
      </c>
      <c r="G527" s="344">
        <v>270000</v>
      </c>
      <c r="S527" s="256" t="s">
        <v>1124</v>
      </c>
      <c r="T527" s="256"/>
    </row>
    <row r="528" spans="1:22">
      <c r="B528" s="246" t="s">
        <v>1098</v>
      </c>
      <c r="C528" s="246" t="s">
        <v>1099</v>
      </c>
      <c r="F528" s="175" t="s">
        <v>571</v>
      </c>
      <c r="G528" s="128">
        <v>340000</v>
      </c>
      <c r="S528" s="246" t="s">
        <v>1163</v>
      </c>
    </row>
    <row r="529" spans="1:22">
      <c r="B529" s="246" t="s">
        <v>1098</v>
      </c>
      <c r="C529" s="246" t="s">
        <v>1099</v>
      </c>
      <c r="F529" s="175" t="s">
        <v>598</v>
      </c>
      <c r="G529" s="128">
        <v>340000</v>
      </c>
      <c r="S529" s="246" t="s">
        <v>1163</v>
      </c>
    </row>
    <row r="530" spans="1:22">
      <c r="B530" s="246" t="s">
        <v>1098</v>
      </c>
      <c r="C530" s="246" t="s">
        <v>1099</v>
      </c>
      <c r="F530" s="175" t="s">
        <v>896</v>
      </c>
      <c r="G530" s="128">
        <v>150000</v>
      </c>
      <c r="S530" s="246" t="s">
        <v>1163</v>
      </c>
    </row>
    <row r="531" spans="1:22">
      <c r="B531" s="246" t="s">
        <v>1098</v>
      </c>
      <c r="C531" s="246" t="s">
        <v>1099</v>
      </c>
      <c r="F531" s="175" t="s">
        <v>606</v>
      </c>
      <c r="G531" s="128">
        <v>90000</v>
      </c>
      <c r="S531" s="246" t="s">
        <v>1164</v>
      </c>
    </row>
    <row r="532" spans="1:22" ht="15">
      <c r="A532" s="256"/>
      <c r="B532" s="256" t="s">
        <v>1017</v>
      </c>
      <c r="C532" s="256" t="s">
        <v>1018</v>
      </c>
      <c r="F532" s="299" t="s">
        <v>770</v>
      </c>
      <c r="G532" s="344">
        <v>135000</v>
      </c>
      <c r="S532" s="256" t="s">
        <v>1124</v>
      </c>
      <c r="T532" s="256"/>
    </row>
    <row r="533" spans="1:22" ht="15" customHeight="1">
      <c r="A533" s="256"/>
      <c r="B533" s="256" t="s">
        <v>1017</v>
      </c>
      <c r="C533" s="256" t="s">
        <v>1018</v>
      </c>
      <c r="F533" s="299" t="s">
        <v>771</v>
      </c>
      <c r="G533" s="344">
        <v>135000</v>
      </c>
      <c r="S533" s="256" t="s">
        <v>1124</v>
      </c>
      <c r="T533" s="256"/>
    </row>
    <row r="534" spans="1:22" ht="30" customHeight="1">
      <c r="A534" s="256"/>
      <c r="B534" s="256" t="s">
        <v>1014</v>
      </c>
      <c r="C534" s="246" t="s">
        <v>1015</v>
      </c>
      <c r="F534" s="246" t="s">
        <v>907</v>
      </c>
      <c r="G534" s="257">
        <v>70000</v>
      </c>
      <c r="H534" s="246">
        <f>G534*0.18</f>
        <v>12600</v>
      </c>
      <c r="S534" s="256" t="s">
        <v>1124</v>
      </c>
      <c r="T534" s="256"/>
      <c r="V534" s="246">
        <f>G534+H534-(G534*0.1)</f>
        <v>75600</v>
      </c>
    </row>
    <row r="535" spans="1:22">
      <c r="B535" s="246" t="s">
        <v>1032</v>
      </c>
      <c r="E535" s="483"/>
      <c r="F535" s="246" t="s">
        <v>1160</v>
      </c>
      <c r="G535" s="246">
        <v>100000</v>
      </c>
      <c r="R535" s="483"/>
      <c r="S535" s="246" t="s">
        <v>1124</v>
      </c>
      <c r="T535" s="483"/>
      <c r="U535" s="483"/>
    </row>
    <row r="536" spans="1:22" ht="12" customHeight="1">
      <c r="A536" s="256"/>
      <c r="B536" s="246" t="s">
        <v>1032</v>
      </c>
      <c r="F536" s="246" t="s">
        <v>1161</v>
      </c>
      <c r="G536" s="246">
        <v>100000</v>
      </c>
      <c r="S536" s="246" t="s">
        <v>1124</v>
      </c>
    </row>
    <row r="537" spans="1:22" ht="15" customHeight="1">
      <c r="B537" s="246" t="s">
        <v>1098</v>
      </c>
      <c r="C537" s="246" t="s">
        <v>1099</v>
      </c>
      <c r="F537" s="175" t="s">
        <v>551</v>
      </c>
      <c r="G537" s="128">
        <v>510000</v>
      </c>
      <c r="S537" s="246" t="s">
        <v>1124</v>
      </c>
    </row>
    <row r="538" spans="1:22">
      <c r="B538" s="246" t="s">
        <v>1098</v>
      </c>
      <c r="C538" s="246" t="s">
        <v>1099</v>
      </c>
      <c r="F538" s="175" t="s">
        <v>399</v>
      </c>
      <c r="G538" s="128">
        <v>510000</v>
      </c>
      <c r="S538" s="246" t="s">
        <v>1124</v>
      </c>
    </row>
    <row r="539" spans="1:22">
      <c r="B539" s="246" t="s">
        <v>1026</v>
      </c>
      <c r="C539" s="246" t="s">
        <v>1027</v>
      </c>
      <c r="F539" s="246" t="s">
        <v>571</v>
      </c>
      <c r="G539" s="257">
        <v>180000</v>
      </c>
      <c r="H539" s="246">
        <f>G539*0.18</f>
        <v>32400</v>
      </c>
      <c r="S539" s="256" t="s">
        <v>1124</v>
      </c>
      <c r="T539" s="256"/>
      <c r="V539" s="246">
        <f>G539+H539-(G539*0.1)</f>
        <v>194400</v>
      </c>
    </row>
    <row r="540" spans="1:22" ht="15">
      <c r="A540" s="256"/>
      <c r="B540" s="256" t="s">
        <v>1022</v>
      </c>
      <c r="C540" s="256" t="s">
        <v>1023</v>
      </c>
      <c r="F540" s="299" t="s">
        <v>767</v>
      </c>
      <c r="G540" s="294">
        <v>32500</v>
      </c>
      <c r="H540" s="246">
        <f>+G540*0.18</f>
        <v>5850</v>
      </c>
      <c r="S540" s="246" t="s">
        <v>1124</v>
      </c>
      <c r="T540" s="256"/>
      <c r="V540" s="246">
        <f>G540+H540-(G540*0.1)</f>
        <v>35100</v>
      </c>
    </row>
    <row r="541" spans="1:22" ht="15">
      <c r="A541" s="256"/>
      <c r="B541" s="256" t="s">
        <v>1022</v>
      </c>
      <c r="C541" s="256" t="s">
        <v>1023</v>
      </c>
      <c r="F541" s="299" t="s">
        <v>770</v>
      </c>
      <c r="G541" s="294">
        <v>32500</v>
      </c>
      <c r="H541" s="246">
        <f>+G541*0.18</f>
        <v>5850</v>
      </c>
      <c r="S541" s="246" t="s">
        <v>1124</v>
      </c>
      <c r="T541" s="256"/>
      <c r="V541" s="246">
        <f>G541+H541-(G541*0.1)</f>
        <v>35100</v>
      </c>
    </row>
    <row r="542" spans="1:22">
      <c r="B542" s="246" t="s">
        <v>1104</v>
      </c>
      <c r="C542" s="246" t="s">
        <v>1091</v>
      </c>
      <c r="D542" s="246">
        <v>5</v>
      </c>
      <c r="E542" s="483"/>
      <c r="F542" s="246" t="s">
        <v>1165</v>
      </c>
      <c r="G542" s="366">
        <f>200000*D542/100</f>
        <v>10000</v>
      </c>
      <c r="R542" s="483"/>
      <c r="S542" s="246" t="s">
        <v>1124</v>
      </c>
      <c r="T542" s="483"/>
      <c r="U542" s="483"/>
    </row>
    <row r="543" spans="1:22" ht="15">
      <c r="A543" s="256"/>
      <c r="B543" s="256" t="s">
        <v>1022</v>
      </c>
      <c r="C543" s="256" t="s">
        <v>1023</v>
      </c>
      <c r="E543" s="483"/>
      <c r="F543" s="299" t="s">
        <v>771</v>
      </c>
      <c r="G543" s="294">
        <v>65000</v>
      </c>
      <c r="H543" s="246">
        <f>+G543*0.18</f>
        <v>11700</v>
      </c>
      <c r="R543" s="483"/>
      <c r="S543" s="256" t="s">
        <v>1124</v>
      </c>
      <c r="T543" s="509"/>
      <c r="U543" s="483"/>
      <c r="V543" s="246">
        <f>G543+H543-(G543*0.1)</f>
        <v>70200</v>
      </c>
    </row>
    <row r="544" spans="1:22">
      <c r="A544" s="256"/>
      <c r="B544" s="246" t="s">
        <v>1032</v>
      </c>
      <c r="F544" s="246" t="s">
        <v>1166</v>
      </c>
      <c r="G544" s="246">
        <v>500000</v>
      </c>
      <c r="H544" s="246">
        <f>+G544*0.18</f>
        <v>90000</v>
      </c>
      <c r="S544" s="256" t="s">
        <v>1124</v>
      </c>
      <c r="V544" s="246">
        <f>G544+H544-(G544*0.1)</f>
        <v>540000</v>
      </c>
    </row>
    <row r="545" spans="2:21">
      <c r="B545" s="246" t="s">
        <v>1098</v>
      </c>
      <c r="C545" s="246" t="s">
        <v>1099</v>
      </c>
      <c r="F545" s="175" t="s">
        <v>653</v>
      </c>
      <c r="G545" s="128">
        <v>680000</v>
      </c>
      <c r="S545" s="246" t="s">
        <v>1124</v>
      </c>
    </row>
    <row r="546" spans="2:21" ht="14.65" thickBot="1">
      <c r="B546" s="246" t="s">
        <v>1107</v>
      </c>
      <c r="C546" s="246" t="s">
        <v>1091</v>
      </c>
      <c r="D546" s="246">
        <v>20</v>
      </c>
      <c r="E546" s="483"/>
      <c r="F546" s="246" t="s">
        <v>883</v>
      </c>
      <c r="G546" s="366">
        <f>200000*D546/100</f>
        <v>40000</v>
      </c>
      <c r="R546" s="483"/>
      <c r="S546" s="246" t="s">
        <v>1124</v>
      </c>
      <c r="T546" s="483"/>
      <c r="U546" s="483"/>
    </row>
    <row r="547" spans="2:21" ht="15.75" customHeight="1" thickBot="1">
      <c r="B547" s="246" t="s">
        <v>1107</v>
      </c>
      <c r="C547" s="246" t="s">
        <v>1091</v>
      </c>
      <c r="D547" s="246">
        <v>5</v>
      </c>
      <c r="F547" s="332" t="s">
        <v>1165</v>
      </c>
      <c r="G547" s="486">
        <f>200000*D547/100</f>
        <v>10000</v>
      </c>
      <c r="S547" s="246" t="s">
        <v>1124</v>
      </c>
    </row>
    <row r="548" spans="2:21">
      <c r="B548" s="246" t="s">
        <v>1107</v>
      </c>
      <c r="C548" s="246" t="s">
        <v>1091</v>
      </c>
      <c r="D548" s="246">
        <v>20</v>
      </c>
      <c r="F548" s="246" t="s">
        <v>1096</v>
      </c>
      <c r="G548" s="366">
        <f>200000*D548/100</f>
        <v>40000</v>
      </c>
      <c r="S548" s="246" t="s">
        <v>1124</v>
      </c>
    </row>
    <row r="549" spans="2:21">
      <c r="B549" s="246" t="s">
        <v>1107</v>
      </c>
      <c r="C549" s="246" t="s">
        <v>1091</v>
      </c>
      <c r="D549" s="246">
        <v>10</v>
      </c>
      <c r="E549" s="483"/>
      <c r="F549" s="246" t="s">
        <v>792</v>
      </c>
      <c r="G549" s="366">
        <f>200000*D549/100</f>
        <v>20000</v>
      </c>
      <c r="R549" s="483"/>
      <c r="S549" s="246" t="s">
        <v>1124</v>
      </c>
      <c r="T549" s="483"/>
      <c r="U549" s="483"/>
    </row>
    <row r="550" spans="2:21">
      <c r="B550" s="246" t="s">
        <v>1090</v>
      </c>
      <c r="C550" s="246" t="s">
        <v>1091</v>
      </c>
      <c r="D550" s="246">
        <v>5</v>
      </c>
      <c r="E550" s="483"/>
      <c r="F550" s="246" t="s">
        <v>1165</v>
      </c>
      <c r="G550" s="366">
        <f>250000*D550/100</f>
        <v>12500</v>
      </c>
      <c r="R550" s="483"/>
      <c r="S550" s="246" t="s">
        <v>1124</v>
      </c>
      <c r="T550" s="483"/>
      <c r="U550" s="483"/>
    </row>
    <row r="551" spans="2:21">
      <c r="B551" s="246" t="s">
        <v>1107</v>
      </c>
      <c r="C551" s="246" t="s">
        <v>1091</v>
      </c>
      <c r="D551" s="246">
        <v>25</v>
      </c>
      <c r="F551" s="246" t="s">
        <v>1167</v>
      </c>
      <c r="G551" s="366">
        <f>200000*D551/100</f>
        <v>50000</v>
      </c>
      <c r="S551" s="246" t="s">
        <v>1124</v>
      </c>
    </row>
    <row r="552" spans="2:21" ht="45" customHeight="1">
      <c r="B552" s="246" t="s">
        <v>692</v>
      </c>
      <c r="C552" s="246" t="s">
        <v>142</v>
      </c>
      <c r="F552" s="298" t="s">
        <v>1168</v>
      </c>
      <c r="G552" s="257">
        <f>812859*0.1</f>
        <v>81285.900000000009</v>
      </c>
      <c r="I552" s="246">
        <v>959173.62</v>
      </c>
      <c r="L552" s="246" t="s">
        <v>973</v>
      </c>
      <c r="N552" s="321" t="s">
        <v>974</v>
      </c>
      <c r="O552" s="246">
        <v>877887.72</v>
      </c>
      <c r="S552" s="246" t="s">
        <v>1124</v>
      </c>
    </row>
    <row r="553" spans="2:21" ht="45" customHeight="1">
      <c r="B553" s="246" t="s">
        <v>1134</v>
      </c>
      <c r="C553" s="250" t="s">
        <v>1135</v>
      </c>
      <c r="F553" s="246" t="s">
        <v>1169</v>
      </c>
      <c r="G553" s="246">
        <v>450000</v>
      </c>
      <c r="S553" s="246" t="s">
        <v>1019</v>
      </c>
    </row>
    <row r="554" spans="2:21" ht="45" customHeight="1">
      <c r="B554" s="246" t="s">
        <v>1134</v>
      </c>
      <c r="C554" s="250" t="s">
        <v>1135</v>
      </c>
      <c r="F554" s="246" t="s">
        <v>1170</v>
      </c>
      <c r="G554" s="246">
        <v>400000</v>
      </c>
      <c r="S554" s="246" t="s">
        <v>1124</v>
      </c>
    </row>
    <row r="555" spans="2:21" ht="45" customHeight="1">
      <c r="B555" s="246" t="s">
        <v>1134</v>
      </c>
      <c r="C555" s="250" t="s">
        <v>1135</v>
      </c>
      <c r="F555" s="246" t="s">
        <v>1171</v>
      </c>
      <c r="G555" s="246">
        <v>670000</v>
      </c>
      <c r="S555" s="246" t="s">
        <v>1124</v>
      </c>
    </row>
    <row r="556" spans="2:21" ht="45" customHeight="1">
      <c r="B556" s="246" t="s">
        <v>1134</v>
      </c>
      <c r="C556" s="250" t="s">
        <v>1135</v>
      </c>
      <c r="F556" s="250" t="s">
        <v>1173</v>
      </c>
      <c r="G556" s="246">
        <v>360000</v>
      </c>
      <c r="S556" s="246" t="s">
        <v>1163</v>
      </c>
    </row>
    <row r="557" spans="2:21" ht="15.75" customHeight="1">
      <c r="B557" s="246" t="s">
        <v>1134</v>
      </c>
      <c r="C557" s="250" t="s">
        <v>1135</v>
      </c>
      <c r="F557" s="483" t="s">
        <v>1172</v>
      </c>
      <c r="G557" s="246">
        <v>380000</v>
      </c>
      <c r="S557" s="246" t="s">
        <v>1124</v>
      </c>
    </row>
    <row r="558" spans="2:21" ht="15.75" customHeight="1">
      <c r="B558" s="246" t="s">
        <v>1085</v>
      </c>
      <c r="F558" s="488" t="s">
        <v>1174</v>
      </c>
      <c r="G558" s="246">
        <v>400000</v>
      </c>
      <c r="S558" s="246" t="s">
        <v>1019</v>
      </c>
    </row>
    <row r="559" spans="2:21" ht="15.75" customHeight="1">
      <c r="B559" s="246" t="s">
        <v>1085</v>
      </c>
      <c r="F559" s="488" t="s">
        <v>1175</v>
      </c>
      <c r="G559" s="246">
        <v>300000</v>
      </c>
      <c r="S559" s="246" t="s">
        <v>1019</v>
      </c>
    </row>
    <row r="560" spans="2:21" ht="15.75" customHeight="1">
      <c r="B560" s="246" t="s">
        <v>1085</v>
      </c>
      <c r="F560" s="488" t="s">
        <v>1176</v>
      </c>
      <c r="G560" s="246">
        <v>400000</v>
      </c>
      <c r="S560" s="246" t="s">
        <v>1019</v>
      </c>
    </row>
    <row r="561" spans="2:21" ht="15.75" customHeight="1">
      <c r="B561" s="246" t="s">
        <v>1085</v>
      </c>
      <c r="F561" s="488" t="s">
        <v>1177</v>
      </c>
      <c r="G561" s="246">
        <v>200000</v>
      </c>
      <c r="S561" s="246" t="s">
        <v>1019</v>
      </c>
    </row>
    <row r="562" spans="2:21" ht="15.75" customHeight="1">
      <c r="B562" s="246" t="s">
        <v>1085</v>
      </c>
      <c r="F562" s="488" t="s">
        <v>1178</v>
      </c>
      <c r="G562" s="246">
        <v>150000</v>
      </c>
      <c r="S562" s="246" t="s">
        <v>1019</v>
      </c>
    </row>
    <row r="563" spans="2:21" ht="15.75" customHeight="1">
      <c r="B563" s="246" t="s">
        <v>1085</v>
      </c>
      <c r="F563" s="488" t="s">
        <v>1179</v>
      </c>
      <c r="G563" s="246">
        <v>50000</v>
      </c>
      <c r="S563" s="246" t="s">
        <v>1124</v>
      </c>
    </row>
    <row r="564" spans="2:21" ht="15.75" customHeight="1">
      <c r="B564" s="246" t="s">
        <v>1085</v>
      </c>
      <c r="F564" s="488" t="s">
        <v>1180</v>
      </c>
      <c r="G564" s="246">
        <v>50000</v>
      </c>
      <c r="S564" s="246" t="s">
        <v>1124</v>
      </c>
    </row>
    <row r="565" spans="2:21" ht="45" customHeight="1">
      <c r="B565" s="246" t="s">
        <v>1134</v>
      </c>
      <c r="C565" s="250" t="s">
        <v>1135</v>
      </c>
      <c r="F565" s="492" t="s">
        <v>1182</v>
      </c>
      <c r="G565" s="246">
        <v>70000</v>
      </c>
      <c r="S565" s="246" t="s">
        <v>1163</v>
      </c>
    </row>
    <row r="566" spans="2:21">
      <c r="B566" s="246" t="s">
        <v>1134</v>
      </c>
      <c r="F566" s="250" t="s">
        <v>1183</v>
      </c>
      <c r="G566" s="246">
        <v>70000</v>
      </c>
      <c r="S566" s="246" t="s">
        <v>1164</v>
      </c>
    </row>
    <row r="567" spans="2:21" ht="15.4">
      <c r="B567" s="246" t="s">
        <v>1085</v>
      </c>
      <c r="F567" s="488" t="s">
        <v>1181</v>
      </c>
      <c r="G567" s="246">
        <v>50000</v>
      </c>
      <c r="S567" s="246" t="s">
        <v>1124</v>
      </c>
    </row>
    <row r="568" spans="2:21">
      <c r="B568" s="246" t="s">
        <v>1703</v>
      </c>
      <c r="F568" s="506" t="s">
        <v>1184</v>
      </c>
      <c r="G568" s="246">
        <v>270000</v>
      </c>
      <c r="S568" s="246" t="s">
        <v>1019</v>
      </c>
    </row>
    <row r="569" spans="2:21">
      <c r="B569" s="246" t="s">
        <v>1703</v>
      </c>
      <c r="F569" s="506" t="s">
        <v>1185</v>
      </c>
      <c r="G569" s="246">
        <v>270000</v>
      </c>
      <c r="S569" s="246" t="s">
        <v>1124</v>
      </c>
    </row>
    <row r="570" spans="2:21">
      <c r="B570" s="246" t="s">
        <v>1703</v>
      </c>
      <c r="F570" s="506" t="s">
        <v>1186</v>
      </c>
      <c r="G570" s="246">
        <v>270000</v>
      </c>
      <c r="S570" s="246" t="s">
        <v>1124</v>
      </c>
    </row>
    <row r="571" spans="2:21">
      <c r="B571" s="246" t="s">
        <v>1703</v>
      </c>
      <c r="F571" s="506" t="s">
        <v>1187</v>
      </c>
      <c r="G571" s="246">
        <f>150000+30000+22500</f>
        <v>202500</v>
      </c>
      <c r="S571" s="246" t="s">
        <v>1124</v>
      </c>
    </row>
    <row r="572" spans="2:21">
      <c r="B572" s="246" t="s">
        <v>1703</v>
      </c>
      <c r="F572" s="506" t="s">
        <v>1188</v>
      </c>
      <c r="G572" s="246">
        <v>135000</v>
      </c>
      <c r="S572" s="246" t="s">
        <v>1124</v>
      </c>
    </row>
    <row r="573" spans="2:21">
      <c r="B573" s="246" t="s">
        <v>1703</v>
      </c>
      <c r="F573" s="506" t="s">
        <v>1189</v>
      </c>
      <c r="G573" s="246">
        <v>67500</v>
      </c>
      <c r="S573" s="246" t="s">
        <v>1124</v>
      </c>
    </row>
    <row r="574" spans="2:21">
      <c r="B574" s="246" t="s">
        <v>1703</v>
      </c>
      <c r="F574" s="506" t="s">
        <v>1190</v>
      </c>
      <c r="G574" s="246">
        <v>67500</v>
      </c>
      <c r="S574" s="246" t="s">
        <v>1124</v>
      </c>
    </row>
    <row r="575" spans="2:21">
      <c r="B575" s="246" t="s">
        <v>1703</v>
      </c>
      <c r="C575" s="483"/>
      <c r="D575" s="483"/>
      <c r="E575" s="483"/>
      <c r="F575" s="506" t="s">
        <v>1191</v>
      </c>
      <c r="G575" s="246">
        <v>67500</v>
      </c>
      <c r="R575" s="483"/>
      <c r="S575" s="246" t="s">
        <v>1124</v>
      </c>
      <c r="T575" s="483"/>
      <c r="U575" s="483"/>
    </row>
    <row r="576" spans="2:21">
      <c r="B576"/>
      <c r="C576"/>
      <c r="D576"/>
      <c r="F576"/>
      <c r="G576"/>
      <c r="S576"/>
      <c r="T576"/>
    </row>
    <row r="577" spans="2:20">
      <c r="B577"/>
      <c r="C577"/>
      <c r="D577"/>
      <c r="F577"/>
      <c r="G577"/>
      <c r="S577"/>
      <c r="T577"/>
    </row>
    <row r="578" spans="2:20">
      <c r="B578" t="s">
        <v>1192</v>
      </c>
      <c r="C578" t="s">
        <v>1193</v>
      </c>
      <c r="D578">
        <v>15</v>
      </c>
      <c r="F578" t="s">
        <v>1195</v>
      </c>
      <c r="G578">
        <v>202500</v>
      </c>
      <c r="S578" t="s">
        <v>1124</v>
      </c>
      <c r="T578" t="s">
        <v>1046</v>
      </c>
    </row>
    <row r="579" spans="2:20">
      <c r="B579" t="s">
        <v>1192</v>
      </c>
      <c r="C579" t="s">
        <v>1193</v>
      </c>
      <c r="D579">
        <v>10</v>
      </c>
      <c r="F579" t="s">
        <v>1196</v>
      </c>
      <c r="G579">
        <v>135000</v>
      </c>
      <c r="S579" t="s">
        <v>1124</v>
      </c>
      <c r="T579" t="s">
        <v>1046</v>
      </c>
    </row>
    <row r="580" spans="2:20">
      <c r="B580" t="s">
        <v>1192</v>
      </c>
      <c r="C580" t="s">
        <v>1193</v>
      </c>
      <c r="D580">
        <v>5</v>
      </c>
      <c r="F580" t="s">
        <v>1197</v>
      </c>
      <c r="G580">
        <v>67500</v>
      </c>
      <c r="S580" t="s">
        <v>1124</v>
      </c>
      <c r="T580" t="s">
        <v>1046</v>
      </c>
    </row>
    <row r="581" spans="2:20">
      <c r="B581" t="s">
        <v>1192</v>
      </c>
      <c r="C581" t="s">
        <v>1193</v>
      </c>
      <c r="D581">
        <v>5</v>
      </c>
      <c r="F581" t="s">
        <v>1198</v>
      </c>
      <c r="G581">
        <v>67500</v>
      </c>
      <c r="S581" t="s">
        <v>1163</v>
      </c>
      <c r="T581" t="s">
        <v>1046</v>
      </c>
    </row>
    <row r="582" spans="2:20">
      <c r="B582" t="s">
        <v>1192</v>
      </c>
      <c r="C582" t="s">
        <v>1193</v>
      </c>
      <c r="D582">
        <v>5</v>
      </c>
      <c r="F582" t="s">
        <v>1199</v>
      </c>
      <c r="G582">
        <v>67500</v>
      </c>
      <c r="S582" t="s">
        <v>1163</v>
      </c>
      <c r="T582" t="s">
        <v>1046</v>
      </c>
    </row>
    <row r="583" spans="2:20">
      <c r="B583" t="s">
        <v>832</v>
      </c>
      <c r="C583" t="s">
        <v>833</v>
      </c>
      <c r="F583" t="s">
        <v>1200</v>
      </c>
      <c r="G583">
        <v>236250</v>
      </c>
      <c r="S583" t="s">
        <v>1124</v>
      </c>
      <c r="T583" t="s">
        <v>1046</v>
      </c>
    </row>
    <row r="584" spans="2:20">
      <c r="B584" t="s">
        <v>832</v>
      </c>
      <c r="C584" t="s">
        <v>833</v>
      </c>
      <c r="F584" t="s">
        <v>1201</v>
      </c>
      <c r="G584">
        <v>157500</v>
      </c>
      <c r="S584" t="s">
        <v>1124</v>
      </c>
      <c r="T584" t="s">
        <v>1046</v>
      </c>
    </row>
    <row r="585" spans="2:20">
      <c r="B585" t="s">
        <v>832</v>
      </c>
      <c r="C585" t="s">
        <v>833</v>
      </c>
      <c r="F585" t="s">
        <v>1202</v>
      </c>
      <c r="G585">
        <v>78750</v>
      </c>
      <c r="S585" t="s">
        <v>1124</v>
      </c>
      <c r="T585" t="s">
        <v>1046</v>
      </c>
    </row>
    <row r="586" spans="2:20">
      <c r="B586" t="s">
        <v>832</v>
      </c>
      <c r="C586" t="s">
        <v>833</v>
      </c>
      <c r="F586" t="s">
        <v>1203</v>
      </c>
      <c r="G586">
        <v>78750</v>
      </c>
      <c r="S586" t="s">
        <v>1124</v>
      </c>
      <c r="T586" t="s">
        <v>1046</v>
      </c>
    </row>
  </sheetData>
  <autoFilter ref="A2:AF586" xr:uid="{00000000-0009-0000-0000-000002000000}">
    <sortState xmlns:xlrd2="http://schemas.microsoft.com/office/spreadsheetml/2017/richdata2" ref="A427:AF586">
      <sortCondition ref="E2:E586"/>
    </sortState>
  </autoFilter>
  <mergeCells count="1">
    <mergeCell ref="R1:S1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VCDLLP</vt:lpstr>
      <vt:lpstr>VCDPL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Rao</dc:creator>
  <cp:lastModifiedBy>Garima Rao</cp:lastModifiedBy>
  <dcterms:created xsi:type="dcterms:W3CDTF">2019-02-23T11:27:03Z</dcterms:created>
  <dcterms:modified xsi:type="dcterms:W3CDTF">2026-04-03T16:07:51Z</dcterms:modified>
</cp:coreProperties>
</file>