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d498db6c281fe1/Einradhockey/Einradhockeyliga/Öffentlichkeitsausschuss/2025-Saison/Tippspiel/"/>
    </mc:Choice>
  </mc:AlternateContent>
  <xr:revisionPtr revIDLastSave="7532" documentId="8_{11DC6CBE-4572-4993-8EA5-F19CDDD266CD}" xr6:coauthVersionLast="47" xr6:coauthVersionMax="47" xr10:uidLastSave="{26C7B568-8B02-4878-8B56-D753BA530DA3}"/>
  <bookViews>
    <workbookView xWindow="1245" yWindow="2115" windowWidth="24435" windowHeight="15510" tabRatio="779" xr2:uid="{25F892DD-3229-40F5-B0F3-199A4735DC02}"/>
  </bookViews>
  <sheets>
    <sheet name="Erklärung" sheetId="8" r:id="rId1"/>
    <sheet name="Tippspiel" sheetId="5" r:id="rId2"/>
    <sheet name="Spielplan" sheetId="1" r:id="rId3"/>
    <sheet name="Vergleich" sheetId="3" r:id="rId4"/>
    <sheet name="Auswertung" sheetId="7" r:id="rId5"/>
    <sheet name="Rechner" sheetId="2" state="hidden" r:id="rId6"/>
    <sheet name="Tippspiel_Rechner" sheetId="6" state="hidden" r:id="rId7"/>
  </sheets>
  <definedNames>
    <definedName name="DMP" localSheetId="1">Tippspiel!$C$9</definedName>
    <definedName name="DMP">Spielplan!$C$9</definedName>
    <definedName name="_xlnm.Print_Area" localSheetId="2">Spielplan!$A$1:$W$115</definedName>
    <definedName name="_xlnm.Print_Area" localSheetId="1">Tippspiel!$A$1:$X$115</definedName>
    <definedName name="ELM" localSheetId="1">Tippspiel!$C$11</definedName>
    <definedName name="ELM">Spielplan!$C$11</definedName>
    <definedName name="FPT" localSheetId="1">Tippspiel!$C$10</definedName>
    <definedName name="FPT">Spielplan!$C$10</definedName>
    <definedName name="GST" localSheetId="1">Tippspiel!$C$50</definedName>
    <definedName name="GST">Spielplan!$C$50</definedName>
    <definedName name="HAW" localSheetId="1">Tippspiel!$C$8</definedName>
    <definedName name="HAW">Spielplan!$C$8</definedName>
    <definedName name="LEG" localSheetId="1">Tippspiel!$C$47</definedName>
    <definedName name="LEG">Spielplan!$C$47</definedName>
    <definedName name="MUH" localSheetId="1">Tippspiel!$C$12</definedName>
    <definedName name="MUH">Spielplan!$C$12</definedName>
    <definedName name="ONE" localSheetId="1">Tippspiel!$C$45</definedName>
    <definedName name="ONE">Spielplan!$C$45</definedName>
    <definedName name="QRR" localSheetId="1">Tippspiel!$C$46</definedName>
    <definedName name="QRR">Spielplan!$C$46</definedName>
    <definedName name="REI" localSheetId="1">Tippspiel!$C$7</definedName>
    <definedName name="REI">Spielplan!$C$7</definedName>
    <definedName name="TRV" localSheetId="1">Tippspiel!$C$49</definedName>
    <definedName name="TRV">Spielplan!$C$49</definedName>
    <definedName name="UTH" localSheetId="1">Tippspiel!$C$48</definedName>
    <definedName name="UTH">Spielplan!$C$48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" i="3" l="1"/>
  <c r="E28" i="3"/>
  <c r="E16" i="3"/>
  <c r="D5" i="6" l="1"/>
  <c r="I35" i="7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G35" i="7"/>
  <c r="G34" i="7"/>
  <c r="G33" i="7"/>
  <c r="G32" i="7"/>
  <c r="G31" i="7"/>
  <c r="G30" i="7"/>
  <c r="G29" i="7"/>
  <c r="G28" i="7"/>
  <c r="G27" i="7"/>
  <c r="G26" i="7"/>
  <c r="G25" i="7"/>
  <c r="G24" i="7"/>
  <c r="G23" i="7"/>
  <c r="G22" i="7"/>
  <c r="G21" i="7"/>
  <c r="F35" i="7"/>
  <c r="F34" i="7"/>
  <c r="F33" i="7"/>
  <c r="F32" i="7"/>
  <c r="F31" i="7"/>
  <c r="F30" i="7"/>
  <c r="F29" i="7"/>
  <c r="F28" i="7"/>
  <c r="F27" i="7"/>
  <c r="F26" i="7"/>
  <c r="F25" i="7"/>
  <c r="F24" i="7"/>
  <c r="F23" i="7"/>
  <c r="F22" i="7"/>
  <c r="F21" i="7"/>
  <c r="D35" i="7"/>
  <c r="D34" i="7"/>
  <c r="D33" i="7"/>
  <c r="D32" i="7"/>
  <c r="D31" i="7"/>
  <c r="D30" i="7"/>
  <c r="D29" i="7"/>
  <c r="D28" i="7"/>
  <c r="D27" i="7"/>
  <c r="D26" i="7"/>
  <c r="D25" i="7"/>
  <c r="D24" i="7"/>
  <c r="D23" i="7"/>
  <c r="D21" i="7"/>
  <c r="D22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I4" i="7"/>
  <c r="G17" i="7"/>
  <c r="G16" i="7"/>
  <c r="G15" i="7"/>
  <c r="G14" i="7"/>
  <c r="G13" i="7"/>
  <c r="G12" i="7"/>
  <c r="G11" i="7"/>
  <c r="G10" i="7"/>
  <c r="G9" i="7"/>
  <c r="G8" i="7"/>
  <c r="G7" i="7"/>
  <c r="G6" i="7"/>
  <c r="G5" i="7"/>
  <c r="G4" i="7"/>
  <c r="F17" i="7"/>
  <c r="F16" i="7"/>
  <c r="F15" i="7"/>
  <c r="F14" i="7"/>
  <c r="F13" i="7"/>
  <c r="F12" i="7"/>
  <c r="F11" i="7"/>
  <c r="F10" i="7"/>
  <c r="F9" i="7"/>
  <c r="F8" i="7"/>
  <c r="F7" i="7"/>
  <c r="F6" i="7"/>
  <c r="F5" i="7"/>
  <c r="F4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I3" i="7"/>
  <c r="G3" i="7"/>
  <c r="F3" i="7"/>
  <c r="D3" i="7"/>
  <c r="E6" i="3"/>
  <c r="P7" i="7" l="1"/>
  <c r="AK18" i="2"/>
  <c r="AK10" i="2"/>
  <c r="AK7" i="2"/>
  <c r="AK6" i="2"/>
  <c r="AK5" i="2"/>
  <c r="AJ18" i="2"/>
  <c r="AJ17" i="2"/>
  <c r="AJ16" i="2"/>
  <c r="AJ15" i="2"/>
  <c r="AJ12" i="2"/>
  <c r="AJ11" i="2"/>
  <c r="AJ10" i="2"/>
  <c r="AJ9" i="2"/>
  <c r="E18" i="2"/>
  <c r="E14" i="2"/>
  <c r="E13" i="2"/>
  <c r="E12" i="2"/>
  <c r="E9" i="2"/>
  <c r="E8" i="2"/>
  <c r="E7" i="2"/>
  <c r="E6" i="2"/>
  <c r="D17" i="2"/>
  <c r="D15" i="2"/>
  <c r="D14" i="2"/>
  <c r="D13" i="2"/>
  <c r="E5" i="2"/>
  <c r="D5" i="2"/>
  <c r="D38" i="6"/>
  <c r="D35" i="6"/>
  <c r="D34" i="6"/>
  <c r="D33" i="6"/>
  <c r="D28" i="6"/>
  <c r="D25" i="6"/>
  <c r="D19" i="6"/>
  <c r="D18" i="6"/>
  <c r="D16" i="6"/>
  <c r="D15" i="6"/>
  <c r="D11" i="6"/>
  <c r="D10" i="6"/>
  <c r="D9" i="6"/>
  <c r="D8" i="6"/>
  <c r="D7" i="6"/>
  <c r="D6" i="6"/>
  <c r="E36" i="6"/>
  <c r="E32" i="6"/>
  <c r="E30" i="6"/>
  <c r="E29" i="6"/>
  <c r="E28" i="6"/>
  <c r="E27" i="6"/>
  <c r="E26" i="6"/>
  <c r="E24" i="6"/>
  <c r="E19" i="6"/>
  <c r="E12" i="6"/>
  <c r="E9" i="6"/>
  <c r="E5" i="6"/>
  <c r="G37" i="6"/>
  <c r="M24" i="6" s="1"/>
  <c r="G18" i="6"/>
  <c r="O18" i="6" s="1"/>
  <c r="U5" i="6" s="1"/>
  <c r="G36" i="6"/>
  <c r="L24" i="6" s="1"/>
  <c r="G17" i="6"/>
  <c r="O17" i="6" s="1"/>
  <c r="T5" i="6" s="1"/>
  <c r="G35" i="6"/>
  <c r="Y28" i="6" s="1"/>
  <c r="G16" i="6"/>
  <c r="G34" i="6"/>
  <c r="Y27" i="6" s="1"/>
  <c r="G15" i="6"/>
  <c r="Y8" i="6" s="1"/>
  <c r="G33" i="6"/>
  <c r="O33" i="6" s="1"/>
  <c r="Q24" i="6" s="1"/>
  <c r="G14" i="6"/>
  <c r="I5" i="6" s="1"/>
  <c r="G32" i="6"/>
  <c r="O32" i="6" s="1"/>
  <c r="P24" i="6" s="1"/>
  <c r="G13" i="6"/>
  <c r="B96" i="6"/>
  <c r="B95" i="6"/>
  <c r="B94" i="6"/>
  <c r="C94" i="6" s="1"/>
  <c r="A94" i="6" s="1"/>
  <c r="B93" i="6"/>
  <c r="C93" i="6" s="1"/>
  <c r="B92" i="6"/>
  <c r="C92" i="6" s="1"/>
  <c r="A92" i="6" s="1"/>
  <c r="B78" i="6"/>
  <c r="C78" i="6" s="1"/>
  <c r="B77" i="6"/>
  <c r="C77" i="6" s="1"/>
  <c r="B76" i="6"/>
  <c r="C76" i="6" s="1"/>
  <c r="B75" i="6"/>
  <c r="C75" i="6" s="1"/>
  <c r="B61" i="6"/>
  <c r="B60" i="6"/>
  <c r="C60" i="6" s="1"/>
  <c r="B59" i="6"/>
  <c r="C59" i="6" s="1"/>
  <c r="B45" i="6"/>
  <c r="C45" i="6" s="1"/>
  <c r="B44" i="6"/>
  <c r="C44" i="6" s="1"/>
  <c r="X98" i="5"/>
  <c r="W98" i="5"/>
  <c r="X97" i="5"/>
  <c r="W97" i="5"/>
  <c r="X96" i="5"/>
  <c r="W96" i="5"/>
  <c r="X95" i="5"/>
  <c r="W95" i="5"/>
  <c r="X94" i="5"/>
  <c r="W94" i="5"/>
  <c r="X93" i="5"/>
  <c r="W93" i="5"/>
  <c r="X92" i="5"/>
  <c r="W92" i="5"/>
  <c r="X91" i="5"/>
  <c r="W91" i="5"/>
  <c r="X90" i="5"/>
  <c r="W90" i="5"/>
  <c r="X89" i="5"/>
  <c r="W89" i="5"/>
  <c r="X88" i="5"/>
  <c r="W88" i="5"/>
  <c r="B88" i="5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X87" i="5"/>
  <c r="W87" i="5"/>
  <c r="K68" i="5"/>
  <c r="C38" i="6" s="1"/>
  <c r="F68" i="5"/>
  <c r="B38" i="6" s="1"/>
  <c r="K30" i="5"/>
  <c r="C19" i="6" s="1"/>
  <c r="F30" i="5"/>
  <c r="B19" i="6" s="1"/>
  <c r="K67" i="5"/>
  <c r="F67" i="5"/>
  <c r="K29" i="5"/>
  <c r="F29" i="5"/>
  <c r="B18" i="6" s="1"/>
  <c r="K66" i="5"/>
  <c r="C36" i="6" s="1"/>
  <c r="F66" i="5"/>
  <c r="B36" i="6" s="1"/>
  <c r="K28" i="5"/>
  <c r="C17" i="6" s="1"/>
  <c r="F28" i="5"/>
  <c r="B17" i="6" s="1"/>
  <c r="K65" i="5"/>
  <c r="C35" i="6" s="1"/>
  <c r="F65" i="5"/>
  <c r="B35" i="6" s="1"/>
  <c r="K27" i="5"/>
  <c r="C16" i="6" s="1"/>
  <c r="F27" i="5"/>
  <c r="B16" i="6" s="1"/>
  <c r="K64" i="5"/>
  <c r="F64" i="5"/>
  <c r="B34" i="6" s="1"/>
  <c r="K26" i="5"/>
  <c r="F26" i="5"/>
  <c r="B15" i="6" s="1"/>
  <c r="K63" i="5"/>
  <c r="F63" i="5"/>
  <c r="K25" i="5"/>
  <c r="F25" i="5"/>
  <c r="K62" i="5"/>
  <c r="C32" i="6" s="1"/>
  <c r="F62" i="5"/>
  <c r="B32" i="6" s="1"/>
  <c r="K24" i="5"/>
  <c r="C13" i="6" s="1"/>
  <c r="F24" i="5"/>
  <c r="B13" i="6" s="1"/>
  <c r="K61" i="5"/>
  <c r="C31" i="6" s="1"/>
  <c r="F61" i="5"/>
  <c r="B31" i="6" s="1"/>
  <c r="K23" i="5"/>
  <c r="C12" i="6" s="1"/>
  <c r="F23" i="5"/>
  <c r="B12" i="6" s="1"/>
  <c r="K60" i="5"/>
  <c r="C30" i="6" s="1"/>
  <c r="F60" i="5"/>
  <c r="B30" i="6" s="1"/>
  <c r="K22" i="5"/>
  <c r="F22" i="5"/>
  <c r="B11" i="6" s="1"/>
  <c r="K59" i="5"/>
  <c r="F59" i="5"/>
  <c r="K21" i="5"/>
  <c r="F21" i="5"/>
  <c r="K58" i="5"/>
  <c r="C28" i="6" s="1"/>
  <c r="F58" i="5"/>
  <c r="B28" i="6" s="1"/>
  <c r="K20" i="5"/>
  <c r="C9" i="6" s="1"/>
  <c r="F20" i="5"/>
  <c r="B9" i="6" s="1"/>
  <c r="K57" i="5"/>
  <c r="C27" i="6" s="1"/>
  <c r="F57" i="5"/>
  <c r="B27" i="6" s="1"/>
  <c r="K19" i="5"/>
  <c r="C8" i="6" s="1"/>
  <c r="F19" i="5"/>
  <c r="B8" i="6" s="1"/>
  <c r="K56" i="5"/>
  <c r="C26" i="6" s="1"/>
  <c r="F56" i="5"/>
  <c r="B26" i="6" s="1"/>
  <c r="K18" i="5"/>
  <c r="C7" i="6" s="1"/>
  <c r="F18" i="5"/>
  <c r="B7" i="6" s="1"/>
  <c r="K55" i="5"/>
  <c r="F55" i="5"/>
  <c r="B55" i="5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K17" i="5"/>
  <c r="F17" i="5"/>
  <c r="B17" i="5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K54" i="5"/>
  <c r="F54" i="5"/>
  <c r="B24" i="6" s="1"/>
  <c r="K16" i="5"/>
  <c r="C5" i="6" s="1"/>
  <c r="F16" i="5"/>
  <c r="B5" i="6" s="1"/>
  <c r="F50" i="5"/>
  <c r="F12" i="5"/>
  <c r="F49" i="5"/>
  <c r="F11" i="5"/>
  <c r="F48" i="5"/>
  <c r="F10" i="5"/>
  <c r="F47" i="5"/>
  <c r="F9" i="5"/>
  <c r="F46" i="5"/>
  <c r="F8" i="5"/>
  <c r="F45" i="5"/>
  <c r="F7" i="5"/>
  <c r="X98" i="1"/>
  <c r="W98" i="1"/>
  <c r="X97" i="1"/>
  <c r="W97" i="1"/>
  <c r="X96" i="1"/>
  <c r="W96" i="1"/>
  <c r="X95" i="1"/>
  <c r="W95" i="1"/>
  <c r="X94" i="1"/>
  <c r="W94" i="1"/>
  <c r="X93" i="1"/>
  <c r="W93" i="1"/>
  <c r="X92" i="1"/>
  <c r="W92" i="1"/>
  <c r="X91" i="1"/>
  <c r="W91" i="1"/>
  <c r="X90" i="1"/>
  <c r="W90" i="1"/>
  <c r="X89" i="1"/>
  <c r="W89" i="1"/>
  <c r="X88" i="1"/>
  <c r="W88" i="1"/>
  <c r="X87" i="1"/>
  <c r="W87" i="1"/>
  <c r="B88" i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AM13" i="2"/>
  <c r="BE6" i="2" s="1"/>
  <c r="AM14" i="2"/>
  <c r="AO5" i="2" s="1"/>
  <c r="AM15" i="2"/>
  <c r="AU15" i="2" s="1"/>
  <c r="AX5" i="2" s="1"/>
  <c r="AM16" i="2"/>
  <c r="AU16" i="2" s="1"/>
  <c r="AY5" i="2" s="1"/>
  <c r="AM17" i="2"/>
  <c r="BE10" i="2" s="1"/>
  <c r="AM18" i="2"/>
  <c r="AU18" i="2" s="1"/>
  <c r="BA5" i="2" s="1"/>
  <c r="G13" i="2"/>
  <c r="Y6" i="2" s="1"/>
  <c r="G14" i="2"/>
  <c r="Y7" i="2" s="1"/>
  <c r="G15" i="2"/>
  <c r="J5" i="2" s="1"/>
  <c r="G16" i="2"/>
  <c r="K5" i="2" s="1"/>
  <c r="G17" i="2"/>
  <c r="Y10" i="2" s="1"/>
  <c r="G18" i="2"/>
  <c r="Y11" i="2" s="1"/>
  <c r="E65" i="6"/>
  <c r="E68" i="6"/>
  <c r="D62" i="6"/>
  <c r="E67" i="6"/>
  <c r="E64" i="6"/>
  <c r="D69" i="6"/>
  <c r="D64" i="6"/>
  <c r="D66" i="6"/>
  <c r="E69" i="6"/>
  <c r="E66" i="6"/>
  <c r="D67" i="6"/>
  <c r="D70" i="6"/>
  <c r="E62" i="6"/>
  <c r="E70" i="6"/>
  <c r="D63" i="6"/>
  <c r="E63" i="6"/>
  <c r="D65" i="6"/>
  <c r="D68" i="6"/>
  <c r="F94" i="5" l="1"/>
  <c r="D96" i="5" s="1"/>
  <c r="F96" i="5"/>
  <c r="D98" i="5" s="1"/>
  <c r="D56" i="5"/>
  <c r="E23" i="5"/>
  <c r="K96" i="5"/>
  <c r="E98" i="5" s="1"/>
  <c r="E56" i="5"/>
  <c r="K97" i="5"/>
  <c r="E93" i="5" s="1"/>
  <c r="E18" i="5"/>
  <c r="E55" i="5"/>
  <c r="C114" i="5"/>
  <c r="F97" i="5"/>
  <c r="D93" i="5" s="1"/>
  <c r="E26" i="5"/>
  <c r="C109" i="5"/>
  <c r="D22" i="5"/>
  <c r="E22" i="5"/>
  <c r="E27" i="5"/>
  <c r="D18" i="5"/>
  <c r="E60" i="5"/>
  <c r="E65" i="5"/>
  <c r="K94" i="5"/>
  <c r="E96" i="5" s="1"/>
  <c r="C104" i="5"/>
  <c r="C101" i="7" s="1"/>
  <c r="C34" i="6"/>
  <c r="E57" i="5"/>
  <c r="K93" i="5"/>
  <c r="E95" i="5" s="1"/>
  <c r="D68" i="5"/>
  <c r="E68" i="5"/>
  <c r="E30" i="5"/>
  <c r="D26" i="5"/>
  <c r="D16" i="5"/>
  <c r="C111" i="5"/>
  <c r="D57" i="5"/>
  <c r="E16" i="5"/>
  <c r="D64" i="5"/>
  <c r="F95" i="5"/>
  <c r="D97" i="5" s="1"/>
  <c r="E64" i="5"/>
  <c r="K95" i="5"/>
  <c r="E97" i="5" s="1"/>
  <c r="C108" i="5"/>
  <c r="D19" i="5"/>
  <c r="D24" i="5"/>
  <c r="E59" i="5"/>
  <c r="D60" i="5"/>
  <c r="E58" i="5"/>
  <c r="D25" i="5"/>
  <c r="D67" i="5"/>
  <c r="C112" i="5"/>
  <c r="C6" i="6"/>
  <c r="C11" i="6"/>
  <c r="C15" i="6"/>
  <c r="B37" i="6"/>
  <c r="E63" i="5"/>
  <c r="D59" i="5"/>
  <c r="E54" i="5"/>
  <c r="C14" i="6"/>
  <c r="C105" i="5"/>
  <c r="C100" i="7" s="1"/>
  <c r="E24" i="5"/>
  <c r="C10" i="6"/>
  <c r="B33" i="6"/>
  <c r="E20" i="5"/>
  <c r="E61" i="5"/>
  <c r="D29" i="5"/>
  <c r="D58" i="5"/>
  <c r="E29" i="5"/>
  <c r="B6" i="6"/>
  <c r="D17" i="5"/>
  <c r="D21" i="5"/>
  <c r="E25" i="5"/>
  <c r="E67" i="5"/>
  <c r="B25" i="6"/>
  <c r="C37" i="6"/>
  <c r="D54" i="5"/>
  <c r="D27" i="5"/>
  <c r="D23" i="5"/>
  <c r="E19" i="5"/>
  <c r="D28" i="5"/>
  <c r="B14" i="6"/>
  <c r="E28" i="5"/>
  <c r="B10" i="6"/>
  <c r="D20" i="5"/>
  <c r="D66" i="5"/>
  <c r="F98" i="5"/>
  <c r="D94" i="5" s="1"/>
  <c r="E66" i="5"/>
  <c r="B29" i="6"/>
  <c r="C33" i="6"/>
  <c r="D62" i="5"/>
  <c r="C24" i="6"/>
  <c r="C29" i="6"/>
  <c r="C18" i="6"/>
  <c r="E62" i="5"/>
  <c r="E17" i="5"/>
  <c r="E21" i="5"/>
  <c r="D63" i="5"/>
  <c r="D30" i="5"/>
  <c r="C25" i="6"/>
  <c r="Y11" i="6"/>
  <c r="I24" i="6"/>
  <c r="O14" i="6"/>
  <c r="Q5" i="6" s="1"/>
  <c r="Y7" i="6"/>
  <c r="Y25" i="6"/>
  <c r="Y29" i="6"/>
  <c r="Y26" i="6"/>
  <c r="A75" i="6"/>
  <c r="A76" i="6"/>
  <c r="A77" i="6"/>
  <c r="A78" i="6"/>
  <c r="A59" i="6"/>
  <c r="A93" i="6"/>
  <c r="C95" i="6"/>
  <c r="A95" i="6" s="1"/>
  <c r="A60" i="6"/>
  <c r="C61" i="6"/>
  <c r="A61" i="6" s="1"/>
  <c r="C96" i="6"/>
  <c r="A96" i="6" s="1"/>
  <c r="C91" i="7"/>
  <c r="C85" i="7"/>
  <c r="B86" i="7"/>
  <c r="C86" i="7"/>
  <c r="C90" i="7"/>
  <c r="AJ14" i="2"/>
  <c r="AK19" i="2"/>
  <c r="AJ13" i="2"/>
  <c r="AK17" i="2"/>
  <c r="J28" i="7"/>
  <c r="K28" i="7" s="1"/>
  <c r="AJ7" i="2"/>
  <c r="AK16" i="2"/>
  <c r="AJ8" i="2"/>
  <c r="AK14" i="2"/>
  <c r="AK15" i="2"/>
  <c r="AK8" i="2"/>
  <c r="AK11" i="2"/>
  <c r="AK12" i="2"/>
  <c r="AK13" i="2"/>
  <c r="E15" i="2"/>
  <c r="E17" i="2"/>
  <c r="D8" i="2"/>
  <c r="E10" i="2"/>
  <c r="E19" i="2"/>
  <c r="AK9" i="2"/>
  <c r="E11" i="2"/>
  <c r="AJ19" i="2"/>
  <c r="D6" i="2"/>
  <c r="D7" i="2"/>
  <c r="E16" i="2"/>
  <c r="AJ6" i="2"/>
  <c r="D9" i="2"/>
  <c r="AJ5" i="2"/>
  <c r="D11" i="2"/>
  <c r="D12" i="2"/>
  <c r="D27" i="6"/>
  <c r="D10" i="2"/>
  <c r="D16" i="2"/>
  <c r="J15" i="7"/>
  <c r="K15" i="7" s="1"/>
  <c r="L15" i="7" s="1"/>
  <c r="D18" i="2"/>
  <c r="D19" i="2"/>
  <c r="E8" i="6"/>
  <c r="J29" i="7"/>
  <c r="K29" i="7" s="1"/>
  <c r="E31" i="6"/>
  <c r="D31" i="6"/>
  <c r="E34" i="6"/>
  <c r="E37" i="6"/>
  <c r="E35" i="6"/>
  <c r="E7" i="6"/>
  <c r="D32" i="6"/>
  <c r="E38" i="6"/>
  <c r="D30" i="6"/>
  <c r="D29" i="6"/>
  <c r="D36" i="6"/>
  <c r="J24" i="7"/>
  <c r="K24" i="7" s="1"/>
  <c r="E25" i="6"/>
  <c r="D26" i="6"/>
  <c r="D37" i="6"/>
  <c r="E11" i="6"/>
  <c r="E10" i="6"/>
  <c r="E14" i="6"/>
  <c r="E13" i="6"/>
  <c r="E33" i="6"/>
  <c r="E17" i="6"/>
  <c r="E15" i="6"/>
  <c r="E18" i="6"/>
  <c r="D24" i="6"/>
  <c r="D14" i="6"/>
  <c r="E16" i="6"/>
  <c r="D12" i="6"/>
  <c r="D17" i="6"/>
  <c r="E6" i="6"/>
  <c r="D13" i="6"/>
  <c r="Y10" i="6"/>
  <c r="O34" i="6"/>
  <c r="R24" i="6" s="1"/>
  <c r="L5" i="6"/>
  <c r="J24" i="6"/>
  <c r="A44" i="6"/>
  <c r="H24" i="6"/>
  <c r="O36" i="6"/>
  <c r="T24" i="6" s="1"/>
  <c r="A45" i="6"/>
  <c r="O16" i="6"/>
  <c r="S5" i="6" s="1"/>
  <c r="K5" i="6"/>
  <c r="H5" i="6"/>
  <c r="Y6" i="6"/>
  <c r="K24" i="6" a="1"/>
  <c r="K24" i="6" s="1"/>
  <c r="O35" i="6"/>
  <c r="S24" i="6" s="1"/>
  <c r="O13" i="6"/>
  <c r="P5" i="6" s="1"/>
  <c r="Y9" i="6"/>
  <c r="Y30" i="6"/>
  <c r="D55" i="5"/>
  <c r="J5" i="6"/>
  <c r="O37" i="6"/>
  <c r="U24" i="6" s="1"/>
  <c r="O15" i="6"/>
  <c r="R5" i="6" s="1"/>
  <c r="M5" i="6"/>
  <c r="C106" i="5"/>
  <c r="C107" i="5"/>
  <c r="D61" i="5"/>
  <c r="K98" i="5"/>
  <c r="C103" i="5"/>
  <c r="C102" i="7" s="1"/>
  <c r="D65" i="5"/>
  <c r="C110" i="5"/>
  <c r="C113" i="5"/>
  <c r="F93" i="5"/>
  <c r="BE11" i="2"/>
  <c r="BE8" i="2"/>
  <c r="BE7" i="2"/>
  <c r="BE9" i="2"/>
  <c r="O14" i="2"/>
  <c r="Q5" i="2" s="1"/>
  <c r="AS5" i="2"/>
  <c r="O15" i="2"/>
  <c r="R5" i="2" s="1"/>
  <c r="AU17" i="2"/>
  <c r="AZ5" i="2" s="1"/>
  <c r="AU14" i="2"/>
  <c r="AW5" i="2" s="1"/>
  <c r="AR5" i="2"/>
  <c r="O13" i="2"/>
  <c r="P5" i="2" s="1"/>
  <c r="AU13" i="2"/>
  <c r="AV5" i="2" s="1"/>
  <c r="AP5" i="2"/>
  <c r="AN5" i="2"/>
  <c r="M5" i="2"/>
  <c r="O18" i="2"/>
  <c r="U5" i="2" s="1"/>
  <c r="AQ5" i="2" a="1"/>
  <c r="AQ5" i="2" s="1"/>
  <c r="L5" i="2"/>
  <c r="O17" i="2"/>
  <c r="T5" i="2" s="1"/>
  <c r="O16" i="2"/>
  <c r="S5" i="2" s="1"/>
  <c r="H5" i="2"/>
  <c r="I5" i="2"/>
  <c r="Y8" i="2"/>
  <c r="Y9" i="2"/>
  <c r="E60" i="6"/>
  <c r="D60" i="6"/>
  <c r="E59" i="6"/>
  <c r="D59" i="6"/>
  <c r="E61" i="6"/>
  <c r="D61" i="6"/>
  <c r="C75" i="7" l="1"/>
  <c r="C71" i="7"/>
  <c r="C81" i="7"/>
  <c r="C76" i="7"/>
  <c r="C80" i="7"/>
  <c r="C95" i="7"/>
  <c r="B48" i="6"/>
  <c r="G53" i="6" s="1"/>
  <c r="B81" i="6"/>
  <c r="Y77" i="6" s="1"/>
  <c r="B64" i="6"/>
  <c r="G68" i="6" s="1"/>
  <c r="O68" i="6" s="1"/>
  <c r="B63" i="6"/>
  <c r="G67" i="6" s="1"/>
  <c r="Y60" i="6" s="1"/>
  <c r="B99" i="6"/>
  <c r="Y94" i="6" s="1"/>
  <c r="B100" i="6"/>
  <c r="G102" i="6" s="1"/>
  <c r="B102" i="6"/>
  <c r="B101" i="6"/>
  <c r="Y96" i="6" s="1"/>
  <c r="B82" i="6"/>
  <c r="G85" i="6" s="1"/>
  <c r="B80" i="6"/>
  <c r="B83" i="6"/>
  <c r="Y79" i="6" s="1"/>
  <c r="B47" i="6"/>
  <c r="G52" i="6" s="1"/>
  <c r="H44" i="6" s="1"/>
  <c r="B98" i="6"/>
  <c r="Y93" i="6" s="1"/>
  <c r="B65" i="6"/>
  <c r="G69" i="6" s="1"/>
  <c r="J59" i="6" s="1"/>
  <c r="R59" i="6" s="1"/>
  <c r="E94" i="5"/>
  <c r="C96" i="7"/>
  <c r="D95" i="5"/>
  <c r="C70" i="7"/>
  <c r="J8" i="7"/>
  <c r="K8" i="7" s="1"/>
  <c r="L8" i="7" s="1"/>
  <c r="J35" i="7"/>
  <c r="J30" i="7"/>
  <c r="J9" i="7"/>
  <c r="K9" i="7" s="1"/>
  <c r="L9" i="7" s="1"/>
  <c r="L29" i="7"/>
  <c r="M29" i="7" s="1"/>
  <c r="L28" i="7"/>
  <c r="M28" i="7" s="1"/>
  <c r="J6" i="7"/>
  <c r="K6" i="7" s="1"/>
  <c r="L6" i="7" s="1"/>
  <c r="J12" i="7"/>
  <c r="K12" i="7" s="1"/>
  <c r="L12" i="7" s="1"/>
  <c r="J21" i="7"/>
  <c r="K21" i="7" s="1"/>
  <c r="J27" i="7"/>
  <c r="K27" i="7" s="1"/>
  <c r="J34" i="7"/>
  <c r="K34" i="7" s="1"/>
  <c r="J5" i="7"/>
  <c r="K5" i="7" s="1"/>
  <c r="L5" i="7" s="1"/>
  <c r="J26" i="7"/>
  <c r="K26" i="7" s="1"/>
  <c r="J13" i="7"/>
  <c r="K13" i="7" s="1"/>
  <c r="L13" i="7" s="1"/>
  <c r="J10" i="7"/>
  <c r="K10" i="7" s="1"/>
  <c r="L10" i="7" s="1"/>
  <c r="J4" i="7"/>
  <c r="K4" i="7" s="1"/>
  <c r="L4" i="7" s="1"/>
  <c r="J11" i="7"/>
  <c r="K11" i="7" s="1"/>
  <c r="L11" i="7" s="1"/>
  <c r="J22" i="7"/>
  <c r="K22" i="7" s="1"/>
  <c r="J31" i="7"/>
  <c r="K31" i="7" s="1"/>
  <c r="J25" i="7"/>
  <c r="K25" i="7" s="1"/>
  <c r="J33" i="7"/>
  <c r="K33" i="7" s="1"/>
  <c r="J7" i="7"/>
  <c r="K7" i="7" s="1"/>
  <c r="L7" i="7" s="1"/>
  <c r="J32" i="7"/>
  <c r="K32" i="7" s="1"/>
  <c r="J3" i="7"/>
  <c r="K3" i="7" s="1"/>
  <c r="J23" i="7"/>
  <c r="K23" i="7" s="1"/>
  <c r="J17" i="7"/>
  <c r="K17" i="7" s="1"/>
  <c r="L17" i="7" s="1"/>
  <c r="J16" i="7"/>
  <c r="K16" i="7" s="1"/>
  <c r="L16" i="7" s="1"/>
  <c r="J14" i="7"/>
  <c r="K14" i="7" s="1"/>
  <c r="L14" i="7" s="1"/>
  <c r="G84" i="6"/>
  <c r="I44" i="6"/>
  <c r="Q44" i="6" s="1"/>
  <c r="Y46" i="6"/>
  <c r="O53" i="6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F68" i="1"/>
  <c r="A38" i="6" s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B55" i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F50" i="1"/>
  <c r="F49" i="1"/>
  <c r="F48" i="1"/>
  <c r="F47" i="1"/>
  <c r="F46" i="1"/>
  <c r="F45" i="1"/>
  <c r="B17" i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Y61" i="6" l="1"/>
  <c r="I59" i="6"/>
  <c r="O52" i="6"/>
  <c r="G101" i="6"/>
  <c r="I92" i="6" s="1"/>
  <c r="G86" i="6"/>
  <c r="K75" i="6" s="1"/>
  <c r="G103" i="6"/>
  <c r="K92" i="6" s="1"/>
  <c r="L3" i="7"/>
  <c r="M3" i="7" s="1"/>
  <c r="Y78" i="6"/>
  <c r="I52" i="6"/>
  <c r="AC46" i="6" s="1"/>
  <c r="I67" i="6"/>
  <c r="AB60" i="6" s="1"/>
  <c r="H59" i="6"/>
  <c r="H68" i="6" s="1"/>
  <c r="Y45" i="6"/>
  <c r="O67" i="6"/>
  <c r="Y97" i="6"/>
  <c r="G104" i="6"/>
  <c r="Y95" i="6"/>
  <c r="Y62" i="6"/>
  <c r="G100" i="6"/>
  <c r="O100" i="6" s="1"/>
  <c r="Y76" i="6"/>
  <c r="G83" i="6"/>
  <c r="O69" i="6"/>
  <c r="K35" i="7"/>
  <c r="L35" i="7" s="1"/>
  <c r="M35" i="7" s="1"/>
  <c r="K30" i="7"/>
  <c r="L30" i="7" s="1"/>
  <c r="M30" i="7" s="1"/>
  <c r="M9" i="7"/>
  <c r="M17" i="7"/>
  <c r="L34" i="7"/>
  <c r="M34" i="7" s="1"/>
  <c r="M14" i="7"/>
  <c r="L33" i="7"/>
  <c r="M33" i="7" s="1"/>
  <c r="M11" i="7"/>
  <c r="M16" i="7"/>
  <c r="M7" i="7"/>
  <c r="M4" i="7"/>
  <c r="L27" i="7"/>
  <c r="M27" i="7" s="1"/>
  <c r="L32" i="7"/>
  <c r="M32" i="7" s="1"/>
  <c r="M13" i="7"/>
  <c r="M10" i="7"/>
  <c r="M15" i="7"/>
  <c r="L24" i="7"/>
  <c r="M24" i="7" s="1"/>
  <c r="M8" i="7"/>
  <c r="P44" i="6"/>
  <c r="H53" i="6"/>
  <c r="AI15" i="2"/>
  <c r="J68" i="6"/>
  <c r="AI16" i="2"/>
  <c r="Q59" i="6"/>
  <c r="I69" i="6"/>
  <c r="A34" i="6"/>
  <c r="AH17" i="2"/>
  <c r="O102" i="6"/>
  <c r="J92" i="6"/>
  <c r="J75" i="6"/>
  <c r="J84" i="6" s="1"/>
  <c r="O85" i="6"/>
  <c r="AH7" i="2"/>
  <c r="A26" i="6"/>
  <c r="AH10" i="2"/>
  <c r="A29" i="6"/>
  <c r="A31" i="6"/>
  <c r="AI17" i="2"/>
  <c r="I75" i="6"/>
  <c r="O84" i="6"/>
  <c r="AI5" i="2"/>
  <c r="J67" i="6"/>
  <c r="A24" i="6"/>
  <c r="AH11" i="2"/>
  <c r="A30" i="6"/>
  <c r="A32" i="6"/>
  <c r="AI18" i="2"/>
  <c r="A37" i="6"/>
  <c r="AH16" i="2"/>
  <c r="A35" i="6"/>
  <c r="AI6" i="2"/>
  <c r="AH6" i="2"/>
  <c r="AH8" i="2"/>
  <c r="A27" i="6"/>
  <c r="AH9" i="2"/>
  <c r="A28" i="6"/>
  <c r="A33" i="6"/>
  <c r="E55" i="1"/>
  <c r="E56" i="1"/>
  <c r="D55" i="1"/>
  <c r="AH5" i="2"/>
  <c r="E54" i="1"/>
  <c r="AI19" i="2"/>
  <c r="E59" i="1"/>
  <c r="AI9" i="2"/>
  <c r="D63" i="1"/>
  <c r="AH13" i="2"/>
  <c r="D64" i="1"/>
  <c r="AH14" i="2"/>
  <c r="D56" i="1"/>
  <c r="D61" i="1"/>
  <c r="D67" i="1"/>
  <c r="D62" i="1"/>
  <c r="AH12" i="2"/>
  <c r="D65" i="1"/>
  <c r="AH15" i="2"/>
  <c r="E66" i="1"/>
  <c r="E67" i="1"/>
  <c r="E64" i="1"/>
  <c r="AI14" i="2"/>
  <c r="E65" i="1"/>
  <c r="E60" i="1"/>
  <c r="AI10" i="2"/>
  <c r="E61" i="1"/>
  <c r="AI11" i="2"/>
  <c r="E62" i="1"/>
  <c r="AI12" i="2"/>
  <c r="E63" i="1"/>
  <c r="AI13" i="2"/>
  <c r="D57" i="1"/>
  <c r="E57" i="1"/>
  <c r="AI7" i="2"/>
  <c r="D68" i="1"/>
  <c r="AH18" i="2"/>
  <c r="AG18" i="2" s="1"/>
  <c r="D54" i="1"/>
  <c r="AH19" i="2"/>
  <c r="E68" i="1"/>
  <c r="E58" i="1"/>
  <c r="AI8" i="2"/>
  <c r="D66" i="1"/>
  <c r="D60" i="1"/>
  <c r="D59" i="1"/>
  <c r="D58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F23" i="1"/>
  <c r="F30" i="1"/>
  <c r="F29" i="1"/>
  <c r="F28" i="1"/>
  <c r="F27" i="1"/>
  <c r="F26" i="1"/>
  <c r="F25" i="1"/>
  <c r="F24" i="1"/>
  <c r="F22" i="1"/>
  <c r="F21" i="1"/>
  <c r="F20" i="1"/>
  <c r="F19" i="1"/>
  <c r="F18" i="1"/>
  <c r="F17" i="1"/>
  <c r="F16" i="1"/>
  <c r="AG10" i="2" l="1"/>
  <c r="AG16" i="2"/>
  <c r="AG6" i="2"/>
  <c r="AG11" i="2"/>
  <c r="AG14" i="2"/>
  <c r="AG17" i="2"/>
  <c r="AB45" i="6"/>
  <c r="O103" i="6"/>
  <c r="AC61" i="6"/>
  <c r="O101" i="6"/>
  <c r="J101" i="6"/>
  <c r="O86" i="6"/>
  <c r="P59" i="6"/>
  <c r="I100" i="6"/>
  <c r="H69" i="6"/>
  <c r="R67" i="6" s="1"/>
  <c r="Q67" i="6"/>
  <c r="H92" i="6"/>
  <c r="H102" i="6" s="1"/>
  <c r="O83" i="6"/>
  <c r="H75" i="6"/>
  <c r="J100" i="6"/>
  <c r="AC95" i="6" s="1"/>
  <c r="K100" i="6"/>
  <c r="AC96" i="6" s="1"/>
  <c r="O104" i="6"/>
  <c r="L92" i="6"/>
  <c r="M5" i="7"/>
  <c r="L25" i="7"/>
  <c r="M25" i="7" s="1"/>
  <c r="L22" i="7"/>
  <c r="M22" i="7" s="1"/>
  <c r="M6" i="7"/>
  <c r="M12" i="7"/>
  <c r="L23" i="7"/>
  <c r="M23" i="7" s="1"/>
  <c r="L21" i="7"/>
  <c r="M21" i="7" s="1"/>
  <c r="L26" i="7"/>
  <c r="M26" i="7" s="1"/>
  <c r="L31" i="7"/>
  <c r="M31" i="7" s="1"/>
  <c r="R68" i="6"/>
  <c r="K102" i="6"/>
  <c r="K101" i="6"/>
  <c r="S75" i="6"/>
  <c r="K83" i="6"/>
  <c r="AC94" i="6"/>
  <c r="AB93" i="6"/>
  <c r="H37" i="6"/>
  <c r="J37" i="6"/>
  <c r="M34" i="6"/>
  <c r="C14" i="2"/>
  <c r="A36" i="6"/>
  <c r="C15" i="2"/>
  <c r="B16" i="2"/>
  <c r="A16" i="6"/>
  <c r="K84" i="6"/>
  <c r="AC62" i="6"/>
  <c r="C13" i="2"/>
  <c r="A25" i="6"/>
  <c r="I37" i="6" s="1"/>
  <c r="B11" i="2"/>
  <c r="AG5" i="2"/>
  <c r="AR14" i="2" s="1"/>
  <c r="B7" i="2"/>
  <c r="C12" i="2"/>
  <c r="B8" i="2"/>
  <c r="B9" i="2"/>
  <c r="B10" i="2"/>
  <c r="A10" i="6"/>
  <c r="B13" i="2"/>
  <c r="A13" i="6"/>
  <c r="C17" i="2"/>
  <c r="B14" i="2"/>
  <c r="A14" i="6"/>
  <c r="B17" i="2"/>
  <c r="A17" i="6"/>
  <c r="Z46" i="6"/>
  <c r="AB46" i="6"/>
  <c r="AD46" i="6" s="1"/>
  <c r="AC45" i="6"/>
  <c r="P53" i="6"/>
  <c r="AA46" i="6" s="1"/>
  <c r="C7" i="2"/>
  <c r="AG15" i="2"/>
  <c r="K85" i="6"/>
  <c r="S92" i="6"/>
  <c r="K104" i="6"/>
  <c r="Q52" i="6"/>
  <c r="AA45" i="6" s="1"/>
  <c r="AG9" i="2"/>
  <c r="Q69" i="6"/>
  <c r="B12" i="2"/>
  <c r="Z45" i="6"/>
  <c r="C18" i="2"/>
  <c r="B15" i="2"/>
  <c r="A15" i="6"/>
  <c r="C19" i="2"/>
  <c r="B18" i="2"/>
  <c r="A18" i="6"/>
  <c r="AG8" i="2"/>
  <c r="C5" i="2"/>
  <c r="I104" i="6"/>
  <c r="I102" i="6"/>
  <c r="Q92" i="6"/>
  <c r="I103" i="6"/>
  <c r="C6" i="2"/>
  <c r="B5" i="2"/>
  <c r="A5" i="6"/>
  <c r="C10" i="2"/>
  <c r="AG12" i="2"/>
  <c r="J86" i="6"/>
  <c r="R75" i="6"/>
  <c r="J83" i="6"/>
  <c r="R92" i="6"/>
  <c r="J104" i="6"/>
  <c r="J103" i="6"/>
  <c r="C16" i="2"/>
  <c r="I86" i="6"/>
  <c r="I85" i="6"/>
  <c r="Q85" i="6" s="1"/>
  <c r="Q75" i="6"/>
  <c r="I83" i="6"/>
  <c r="B19" i="2"/>
  <c r="C8" i="2"/>
  <c r="C9" i="2"/>
  <c r="B6" i="2"/>
  <c r="A6" i="6"/>
  <c r="C11" i="2"/>
  <c r="AG7" i="2"/>
  <c r="AC60" i="6"/>
  <c r="AD60" i="6" s="1"/>
  <c r="AB61" i="6"/>
  <c r="P68" i="6"/>
  <c r="Z61" i="6"/>
  <c r="AG19" i="2"/>
  <c r="AG13" i="2"/>
  <c r="F12" i="1"/>
  <c r="E29" i="1" s="1"/>
  <c r="F11" i="1"/>
  <c r="D29" i="1" s="1"/>
  <c r="F10" i="1"/>
  <c r="D26" i="1" s="1"/>
  <c r="F9" i="1"/>
  <c r="F8" i="1"/>
  <c r="F7" i="1"/>
  <c r="D25" i="1" s="1"/>
  <c r="B73" i="2"/>
  <c r="B74" i="2"/>
  <c r="B75" i="2"/>
  <c r="B76" i="2"/>
  <c r="B77" i="2"/>
  <c r="B56" i="2"/>
  <c r="B57" i="2"/>
  <c r="B58" i="2"/>
  <c r="B59" i="2"/>
  <c r="B40" i="2"/>
  <c r="C40" i="2" s="1"/>
  <c r="B41" i="2"/>
  <c r="C41" i="2" s="1"/>
  <c r="B42" i="2"/>
  <c r="C42" i="2" s="1"/>
  <c r="B25" i="2"/>
  <c r="C25" i="2" s="1"/>
  <c r="B26" i="2"/>
  <c r="C26" i="2" s="1"/>
  <c r="Q102" i="6" l="1"/>
  <c r="AD45" i="6"/>
  <c r="Z60" i="6"/>
  <c r="AB62" i="6"/>
  <c r="K36" i="6"/>
  <c r="H35" i="6"/>
  <c r="I36" i="6"/>
  <c r="Z62" i="6"/>
  <c r="AD61" i="6"/>
  <c r="X45" i="6"/>
  <c r="L35" i="6"/>
  <c r="T35" i="6" s="1"/>
  <c r="AN16" i="2"/>
  <c r="D28" i="1"/>
  <c r="AP17" i="2"/>
  <c r="AR18" i="2"/>
  <c r="AQ13" i="2"/>
  <c r="AO17" i="2"/>
  <c r="AZ14" i="2" s="1"/>
  <c r="AP18" i="2"/>
  <c r="AS15" i="2"/>
  <c r="K33" i="6"/>
  <c r="P69" i="6"/>
  <c r="AA62" i="6" s="1"/>
  <c r="H33" i="6"/>
  <c r="H101" i="6"/>
  <c r="Q100" i="6" s="1"/>
  <c r="AA60" i="6"/>
  <c r="X60" i="6" s="1"/>
  <c r="W60" i="6" s="1"/>
  <c r="H34" i="6"/>
  <c r="P92" i="6"/>
  <c r="M32" i="6"/>
  <c r="U32" i="6" s="1"/>
  <c r="H103" i="6"/>
  <c r="H104" i="6"/>
  <c r="L32" i="6"/>
  <c r="I34" i="6"/>
  <c r="M36" i="6"/>
  <c r="S100" i="6"/>
  <c r="T92" i="6"/>
  <c r="L103" i="6"/>
  <c r="T103" i="6" s="1"/>
  <c r="L102" i="6"/>
  <c r="R104" i="6" s="1"/>
  <c r="L101" i="6"/>
  <c r="Q104" i="6" s="1"/>
  <c r="L100" i="6"/>
  <c r="AC97" i="6" s="1"/>
  <c r="S104" i="6"/>
  <c r="P75" i="6"/>
  <c r="H84" i="6"/>
  <c r="Z77" i="6" s="1"/>
  <c r="H86" i="6"/>
  <c r="AB79" i="6" s="1"/>
  <c r="H85" i="6"/>
  <c r="AB78" i="6" s="1"/>
  <c r="P3" i="7"/>
  <c r="P4" i="7"/>
  <c r="S85" i="6"/>
  <c r="U34" i="6"/>
  <c r="R103" i="6"/>
  <c r="Q103" i="6"/>
  <c r="AA61" i="6"/>
  <c r="X61" i="6" s="1"/>
  <c r="W61" i="6" s="1"/>
  <c r="X46" i="6"/>
  <c r="W46" i="6" s="1"/>
  <c r="S102" i="6"/>
  <c r="J35" i="6"/>
  <c r="K34" i="6"/>
  <c r="I35" i="6"/>
  <c r="H36" i="6"/>
  <c r="M35" i="6"/>
  <c r="J33" i="6"/>
  <c r="S36" i="6"/>
  <c r="L34" i="6"/>
  <c r="J32" i="6"/>
  <c r="M33" i="6"/>
  <c r="U33" i="6" s="1"/>
  <c r="I32" i="6"/>
  <c r="L33" i="6"/>
  <c r="S84" i="6"/>
  <c r="J36" i="6"/>
  <c r="AN15" i="2"/>
  <c r="R86" i="6"/>
  <c r="A8" i="6"/>
  <c r="AR13" i="2"/>
  <c r="AR15" i="2"/>
  <c r="AD62" i="6"/>
  <c r="S101" i="6"/>
  <c r="R84" i="6"/>
  <c r="AN17" i="2"/>
  <c r="AO13" i="2"/>
  <c r="A19" i="6"/>
  <c r="AB76" i="6"/>
  <c r="AC77" i="6"/>
  <c r="L14" i="6"/>
  <c r="I17" i="6"/>
  <c r="J18" i="6"/>
  <c r="M15" i="6"/>
  <c r="A12" i="6"/>
  <c r="A11" i="6"/>
  <c r="P102" i="6"/>
  <c r="AB95" i="6"/>
  <c r="AD95" i="6" s="1"/>
  <c r="AO15" i="2"/>
  <c r="R100" i="6"/>
  <c r="AC79" i="6"/>
  <c r="AB97" i="6"/>
  <c r="AP16" i="2"/>
  <c r="AQ14" i="2"/>
  <c r="A9" i="6"/>
  <c r="AP14" i="2"/>
  <c r="AS17" i="2"/>
  <c r="R37" i="6"/>
  <c r="Q86" i="6"/>
  <c r="A7" i="6"/>
  <c r="AR16" i="2"/>
  <c r="AO16" i="2"/>
  <c r="K37" i="6"/>
  <c r="L37" i="6"/>
  <c r="AC78" i="6"/>
  <c r="AS16" i="2"/>
  <c r="AQ18" i="2"/>
  <c r="AS14" i="2"/>
  <c r="AQ17" i="2"/>
  <c r="AB96" i="6"/>
  <c r="AD96" i="6" s="1"/>
  <c r="P103" i="6"/>
  <c r="K32" i="6"/>
  <c r="P35" i="6" s="1"/>
  <c r="R101" i="6"/>
  <c r="C77" i="2"/>
  <c r="C76" i="2"/>
  <c r="C75" i="2"/>
  <c r="C74" i="2"/>
  <c r="C73" i="2"/>
  <c r="C59" i="2"/>
  <c r="C58" i="2"/>
  <c r="C57" i="2"/>
  <c r="C56" i="2"/>
  <c r="AN18" i="2"/>
  <c r="AN14" i="2"/>
  <c r="AO18" i="2"/>
  <c r="AQ15" i="2"/>
  <c r="E30" i="1"/>
  <c r="AP13" i="2"/>
  <c r="D27" i="1"/>
  <c r="D24" i="1"/>
  <c r="E27" i="1"/>
  <c r="AS13" i="2"/>
  <c r="D16" i="1"/>
  <c r="D19" i="1"/>
  <c r="E24" i="1"/>
  <c r="E22" i="1"/>
  <c r="E18" i="1"/>
  <c r="D18" i="1"/>
  <c r="E16" i="1"/>
  <c r="D17" i="1"/>
  <c r="D30" i="1"/>
  <c r="E20" i="1"/>
  <c r="E23" i="1"/>
  <c r="E19" i="1"/>
  <c r="D22" i="1"/>
  <c r="E25" i="1"/>
  <c r="E17" i="1"/>
  <c r="E21" i="1"/>
  <c r="E26" i="1"/>
  <c r="D23" i="1"/>
  <c r="D21" i="1"/>
  <c r="E28" i="1"/>
  <c r="D20" i="1"/>
  <c r="A40" i="2"/>
  <c r="A25" i="2"/>
  <c r="A26" i="2"/>
  <c r="A42" i="2"/>
  <c r="A41" i="2"/>
  <c r="A14" i="2"/>
  <c r="A7" i="2"/>
  <c r="A10" i="2"/>
  <c r="A15" i="2"/>
  <c r="A5" i="2"/>
  <c r="A8" i="2"/>
  <c r="A18" i="2"/>
  <c r="A12" i="2"/>
  <c r="A16" i="2"/>
  <c r="A13" i="2"/>
  <c r="A19" i="2"/>
  <c r="A17" i="2"/>
  <c r="A11" i="2"/>
  <c r="A9" i="2"/>
  <c r="A6" i="2"/>
  <c r="E41" i="2"/>
  <c r="D41" i="2"/>
  <c r="E47" i="2"/>
  <c r="E40" i="2"/>
  <c r="D47" i="2"/>
  <c r="AV16" i="2" l="1"/>
  <c r="BA17" i="2"/>
  <c r="AW17" i="2"/>
  <c r="X62" i="6"/>
  <c r="W62" i="6" s="1"/>
  <c r="P37" i="6"/>
  <c r="Z96" i="6"/>
  <c r="Q35" i="6"/>
  <c r="AC93" i="6"/>
  <c r="AD93" i="6" s="1"/>
  <c r="P101" i="6"/>
  <c r="T33" i="6"/>
  <c r="AC25" i="6"/>
  <c r="AB94" i="6"/>
  <c r="AD94" i="6" s="1"/>
  <c r="BA15" i="2"/>
  <c r="AX18" i="2"/>
  <c r="AY13" i="2"/>
  <c r="AZ15" i="2"/>
  <c r="P34" i="6"/>
  <c r="T37" i="6"/>
  <c r="K18" i="6"/>
  <c r="H16" i="6"/>
  <c r="Z95" i="6"/>
  <c r="Q83" i="6"/>
  <c r="AD79" i="6"/>
  <c r="P84" i="6"/>
  <c r="AA77" i="6" s="1"/>
  <c r="Z79" i="6"/>
  <c r="Z94" i="6"/>
  <c r="W45" i="6"/>
  <c r="P104" i="6"/>
  <c r="AA97" i="6" s="1"/>
  <c r="X97" i="6" s="1"/>
  <c r="W97" i="6" s="1"/>
  <c r="T101" i="6"/>
  <c r="T102" i="6"/>
  <c r="AA95" i="6" s="1"/>
  <c r="X95" i="6" s="1"/>
  <c r="W95" i="6" s="1"/>
  <c r="T100" i="6"/>
  <c r="AA93" i="6" s="1"/>
  <c r="X93" i="6" s="1"/>
  <c r="W93" i="6" s="1"/>
  <c r="P86" i="6"/>
  <c r="AA79" i="6" s="1"/>
  <c r="X79" i="6" s="1"/>
  <c r="W79" i="6" s="1"/>
  <c r="AD97" i="6"/>
  <c r="P85" i="6"/>
  <c r="AA78" i="6" s="1"/>
  <c r="X78" i="6" s="1"/>
  <c r="W78" i="6" s="1"/>
  <c r="Z97" i="6"/>
  <c r="R83" i="6"/>
  <c r="Z93" i="6"/>
  <c r="AD78" i="6"/>
  <c r="S83" i="6"/>
  <c r="Z76" i="6"/>
  <c r="AC76" i="6"/>
  <c r="AD76" i="6" s="1"/>
  <c r="AB77" i="6"/>
  <c r="AD77" i="6" s="1"/>
  <c r="Z78" i="6"/>
  <c r="AY14" i="2"/>
  <c r="AB26" i="6"/>
  <c r="BF10" i="2"/>
  <c r="S34" i="6"/>
  <c r="AZ16" i="2"/>
  <c r="AX17" i="2"/>
  <c r="BI10" i="2"/>
  <c r="AB29" i="6"/>
  <c r="AY17" i="2"/>
  <c r="BH9" i="2"/>
  <c r="AZ13" i="2"/>
  <c r="AX14" i="2"/>
  <c r="BA14" i="2"/>
  <c r="AW16" i="2"/>
  <c r="BA13" i="2"/>
  <c r="T34" i="6"/>
  <c r="T32" i="6"/>
  <c r="AB28" i="6"/>
  <c r="Z25" i="6"/>
  <c r="R35" i="6"/>
  <c r="R33" i="6"/>
  <c r="Q34" i="6"/>
  <c r="Z28" i="6"/>
  <c r="S37" i="6"/>
  <c r="P36" i="6"/>
  <c r="S33" i="6"/>
  <c r="AA96" i="6"/>
  <c r="X96" i="6" s="1"/>
  <c r="W96" i="6" s="1"/>
  <c r="U15" i="6"/>
  <c r="Q17" i="6"/>
  <c r="AC29" i="6"/>
  <c r="AB25" i="6"/>
  <c r="AD25" i="6" s="1"/>
  <c r="R32" i="6"/>
  <c r="Z26" i="6"/>
  <c r="Q37" i="6"/>
  <c r="Q32" i="6"/>
  <c r="AC26" i="6"/>
  <c r="AC27" i="6"/>
  <c r="Q36" i="6"/>
  <c r="P33" i="6"/>
  <c r="AC30" i="6"/>
  <c r="Z27" i="6"/>
  <c r="AB27" i="6"/>
  <c r="R36" i="6"/>
  <c r="L16" i="6"/>
  <c r="M13" i="6"/>
  <c r="J14" i="6"/>
  <c r="AW15" i="2"/>
  <c r="AB30" i="6"/>
  <c r="J13" i="6"/>
  <c r="J16" i="6"/>
  <c r="BA16" i="2"/>
  <c r="I15" i="6"/>
  <c r="K15" i="6"/>
  <c r="K14" i="6"/>
  <c r="I16" i="6"/>
  <c r="M14" i="6"/>
  <c r="BH10" i="2"/>
  <c r="J17" i="6"/>
  <c r="I18" i="6"/>
  <c r="AV17" i="2"/>
  <c r="H14" i="6"/>
  <c r="I13" i="6"/>
  <c r="S32" i="6"/>
  <c r="AC28" i="6"/>
  <c r="H17" i="6"/>
  <c r="M17" i="6"/>
  <c r="L13" i="6"/>
  <c r="H18" i="6"/>
  <c r="H15" i="6"/>
  <c r="AY15" i="2"/>
  <c r="AV14" i="2"/>
  <c r="R18" i="6"/>
  <c r="L15" i="6"/>
  <c r="U35" i="6"/>
  <c r="M16" i="6"/>
  <c r="K13" i="6"/>
  <c r="AY18" i="2"/>
  <c r="AX13" i="2"/>
  <c r="K17" i="6"/>
  <c r="AZ18" i="2"/>
  <c r="L18" i="6"/>
  <c r="Z30" i="6"/>
  <c r="Z29" i="6"/>
  <c r="T14" i="6"/>
  <c r="U36" i="6"/>
  <c r="BH11" i="2"/>
  <c r="BI7" i="2"/>
  <c r="AW13" i="2"/>
  <c r="BI6" i="2"/>
  <c r="AX16" i="2"/>
  <c r="BI9" i="2"/>
  <c r="BH7" i="2"/>
  <c r="BF7" i="2"/>
  <c r="BF9" i="2"/>
  <c r="BH8" i="2"/>
  <c r="AW18" i="2"/>
  <c r="A77" i="2"/>
  <c r="A76" i="2"/>
  <c r="A75" i="2"/>
  <c r="A74" i="2"/>
  <c r="A73" i="2"/>
  <c r="A59" i="2"/>
  <c r="A58" i="2"/>
  <c r="A57" i="2"/>
  <c r="A56" i="2"/>
  <c r="AV18" i="2"/>
  <c r="AV15" i="2"/>
  <c r="BF8" i="2"/>
  <c r="BI8" i="2"/>
  <c r="BF6" i="2"/>
  <c r="BH6" i="2"/>
  <c r="BF11" i="2"/>
  <c r="BI11" i="2"/>
  <c r="B46" i="2"/>
  <c r="G50" i="2" s="1"/>
  <c r="B44" i="2"/>
  <c r="G48" i="2" s="1"/>
  <c r="B45" i="2"/>
  <c r="G49" i="2" s="1"/>
  <c r="B28" i="2"/>
  <c r="G33" i="2" s="1"/>
  <c r="H25" i="2" s="1"/>
  <c r="B29" i="2"/>
  <c r="G34" i="2" s="1"/>
  <c r="I25" i="2" s="1"/>
  <c r="Q25" i="2" s="1"/>
  <c r="J18" i="2"/>
  <c r="K13" i="2"/>
  <c r="I18" i="2"/>
  <c r="H15" i="2"/>
  <c r="M17" i="2"/>
  <c r="J13" i="2"/>
  <c r="J16" i="2"/>
  <c r="I16" i="2"/>
  <c r="L13" i="2"/>
  <c r="M13" i="2"/>
  <c r="I15" i="2"/>
  <c r="I17" i="2"/>
  <c r="K14" i="2"/>
  <c r="J14" i="2"/>
  <c r="L18" i="2"/>
  <c r="M14" i="2"/>
  <c r="I13" i="2"/>
  <c r="H18" i="2"/>
  <c r="L14" i="2"/>
  <c r="K15" i="2"/>
  <c r="K18" i="2"/>
  <c r="M15" i="2"/>
  <c r="H17" i="2"/>
  <c r="L15" i="2"/>
  <c r="H14" i="2"/>
  <c r="H16" i="2"/>
  <c r="J17" i="2"/>
  <c r="M16" i="2"/>
  <c r="L16" i="2"/>
  <c r="K17" i="2"/>
  <c r="D44" i="2"/>
  <c r="E50" i="2"/>
  <c r="F21" i="3"/>
  <c r="C21" i="3"/>
  <c r="H22" i="3"/>
  <c r="H21" i="3"/>
  <c r="E43" i="2"/>
  <c r="C23" i="3"/>
  <c r="C22" i="3"/>
  <c r="D43" i="2"/>
  <c r="G22" i="3"/>
  <c r="D21" i="3"/>
  <c r="D48" i="2"/>
  <c r="E42" i="2"/>
  <c r="E48" i="2"/>
  <c r="F22" i="3"/>
  <c r="D46" i="2"/>
  <c r="E44" i="2"/>
  <c r="E46" i="2"/>
  <c r="E22" i="3"/>
  <c r="E21" i="3"/>
  <c r="D22" i="3"/>
  <c r="F23" i="3"/>
  <c r="D40" i="2"/>
  <c r="D42" i="2"/>
  <c r="D50" i="2"/>
  <c r="E23" i="3"/>
  <c r="G21" i="3"/>
  <c r="D23" i="3"/>
  <c r="H23" i="3"/>
  <c r="G23" i="3"/>
  <c r="AA94" i="6" l="1"/>
  <c r="X94" i="6"/>
  <c r="W94" i="6" s="1"/>
  <c r="BJ7" i="2"/>
  <c r="U16" i="6"/>
  <c r="P16" i="6"/>
  <c r="X77" i="6"/>
  <c r="W77" i="6" s="1"/>
  <c r="AA76" i="6"/>
  <c r="X76" i="6" s="1"/>
  <c r="W76" i="6" s="1"/>
  <c r="AD26" i="6"/>
  <c r="BG9" i="2"/>
  <c r="BD9" i="2" s="1"/>
  <c r="BG7" i="2"/>
  <c r="BD7" i="2" s="1"/>
  <c r="BJ10" i="2"/>
  <c r="BJ9" i="2"/>
  <c r="AD29" i="6"/>
  <c r="AA27" i="6"/>
  <c r="X27" i="6" s="1"/>
  <c r="AA28" i="6"/>
  <c r="X28" i="6" s="1"/>
  <c r="BG10" i="2"/>
  <c r="BD10" i="2" s="1"/>
  <c r="AD27" i="6"/>
  <c r="AD28" i="6"/>
  <c r="AA30" i="6"/>
  <c r="X30" i="6" s="1"/>
  <c r="AA26" i="6"/>
  <c r="X26" i="6" s="1"/>
  <c r="AA25" i="6"/>
  <c r="X25" i="6" s="1"/>
  <c r="Q15" i="6"/>
  <c r="S15" i="6"/>
  <c r="U17" i="6"/>
  <c r="AB9" i="6"/>
  <c r="S14" i="6"/>
  <c r="Z31" i="6"/>
  <c r="AD30" i="6"/>
  <c r="AA29" i="6"/>
  <c r="X29" i="6" s="1"/>
  <c r="S17" i="6"/>
  <c r="Q18" i="6"/>
  <c r="R17" i="6"/>
  <c r="Z9" i="6"/>
  <c r="AB10" i="6"/>
  <c r="Z10" i="6"/>
  <c r="P17" i="6"/>
  <c r="R13" i="6"/>
  <c r="AC8" i="6"/>
  <c r="P15" i="6"/>
  <c r="AB8" i="6"/>
  <c r="Z8" i="6"/>
  <c r="Z6" i="6"/>
  <c r="AB6" i="6"/>
  <c r="AC7" i="6"/>
  <c r="Q13" i="6"/>
  <c r="R14" i="6"/>
  <c r="T18" i="6"/>
  <c r="R16" i="6"/>
  <c r="U13" i="6"/>
  <c r="AC11" i="6"/>
  <c r="AC10" i="6"/>
  <c r="T13" i="6"/>
  <c r="BG6" i="2"/>
  <c r="BD6" i="2" s="1"/>
  <c r="U14" i="6"/>
  <c r="T16" i="6"/>
  <c r="Z11" i="6"/>
  <c r="AB11" i="6"/>
  <c r="P18" i="6"/>
  <c r="Z7" i="6"/>
  <c r="AC6" i="6"/>
  <c r="P14" i="6"/>
  <c r="AB7" i="6"/>
  <c r="S13" i="6"/>
  <c r="AC9" i="6"/>
  <c r="BG8" i="2"/>
  <c r="BD8" i="2" s="1"/>
  <c r="T15" i="6"/>
  <c r="Q16" i="6"/>
  <c r="S18" i="6"/>
  <c r="BG11" i="2"/>
  <c r="BD11" i="2" s="1"/>
  <c r="BJ8" i="2"/>
  <c r="BJ11" i="2"/>
  <c r="BJ6" i="2"/>
  <c r="B81" i="2"/>
  <c r="Y76" i="2" s="1"/>
  <c r="B80" i="2"/>
  <c r="G82" i="2" s="1"/>
  <c r="B83" i="2"/>
  <c r="B79" i="2"/>
  <c r="B82" i="2"/>
  <c r="B64" i="2"/>
  <c r="Y60" i="2" s="1"/>
  <c r="B63" i="2"/>
  <c r="G66" i="2" s="1"/>
  <c r="J56" i="2" s="1"/>
  <c r="B61" i="2"/>
  <c r="G64" i="2" s="1"/>
  <c r="O64" i="2" s="1"/>
  <c r="B62" i="2"/>
  <c r="Y58" i="2" s="1"/>
  <c r="BF12" i="2"/>
  <c r="AC10" i="2"/>
  <c r="AC6" i="2"/>
  <c r="Z7" i="2"/>
  <c r="AC11" i="2"/>
  <c r="AC8" i="2"/>
  <c r="Z8" i="2"/>
  <c r="AC9" i="2"/>
  <c r="Z6" i="2"/>
  <c r="AC7" i="2"/>
  <c r="Z9" i="2"/>
  <c r="Z10" i="2"/>
  <c r="Z11" i="2"/>
  <c r="H40" i="2"/>
  <c r="H50" i="2" s="1"/>
  <c r="Y41" i="2"/>
  <c r="O48" i="2"/>
  <c r="O34" i="2"/>
  <c r="I33" i="2"/>
  <c r="O33" i="2"/>
  <c r="J40" i="2"/>
  <c r="J49" i="2" s="1"/>
  <c r="Y43" i="2"/>
  <c r="O50" i="2"/>
  <c r="Y42" i="2"/>
  <c r="I40" i="2"/>
  <c r="O49" i="2"/>
  <c r="P25" i="2"/>
  <c r="H34" i="2"/>
  <c r="P16" i="2"/>
  <c r="AB9" i="2"/>
  <c r="U13" i="2"/>
  <c r="AB7" i="2"/>
  <c r="AB8" i="2"/>
  <c r="AB10" i="2"/>
  <c r="AB6" i="2"/>
  <c r="AB11" i="2"/>
  <c r="P14" i="2"/>
  <c r="R13" i="2"/>
  <c r="S14" i="2"/>
  <c r="T16" i="2"/>
  <c r="T13" i="2"/>
  <c r="U16" i="2"/>
  <c r="Q15" i="2"/>
  <c r="U15" i="2"/>
  <c r="U17" i="2"/>
  <c r="S13" i="2"/>
  <c r="T15" i="2"/>
  <c r="U14" i="2"/>
  <c r="Q13" i="2"/>
  <c r="S15" i="2"/>
  <c r="T14" i="2"/>
  <c r="R14" i="2"/>
  <c r="Q18" i="2"/>
  <c r="Q16" i="2"/>
  <c r="P15" i="2"/>
  <c r="P18" i="2"/>
  <c r="P17" i="2"/>
  <c r="R18" i="2"/>
  <c r="S18" i="2"/>
  <c r="S17" i="2"/>
  <c r="R17" i="2"/>
  <c r="T18" i="2"/>
  <c r="R16" i="2"/>
  <c r="Q17" i="2"/>
  <c r="E51" i="3"/>
  <c r="H35" i="3"/>
  <c r="D35" i="3"/>
  <c r="F50" i="3"/>
  <c r="H37" i="3"/>
  <c r="E37" i="3"/>
  <c r="D34" i="3"/>
  <c r="G36" i="3"/>
  <c r="E34" i="3"/>
  <c r="G34" i="3"/>
  <c r="C35" i="3"/>
  <c r="H34" i="3"/>
  <c r="D49" i="2"/>
  <c r="C53" i="3"/>
  <c r="G35" i="3"/>
  <c r="F35" i="3"/>
  <c r="D45" i="2"/>
  <c r="D51" i="3"/>
  <c r="H53" i="3"/>
  <c r="F51" i="3"/>
  <c r="D52" i="3"/>
  <c r="D51" i="2"/>
  <c r="G52" i="3"/>
  <c r="E45" i="2"/>
  <c r="E50" i="3"/>
  <c r="G53" i="3"/>
  <c r="C50" i="3"/>
  <c r="E53" i="3"/>
  <c r="H51" i="3"/>
  <c r="C51" i="3"/>
  <c r="F37" i="3"/>
  <c r="H36" i="3"/>
  <c r="E51" i="2"/>
  <c r="G49" i="3"/>
  <c r="C36" i="3"/>
  <c r="C34" i="3"/>
  <c r="H50" i="3"/>
  <c r="H52" i="3"/>
  <c r="E49" i="3"/>
  <c r="C52" i="3"/>
  <c r="E35" i="3"/>
  <c r="C37" i="3"/>
  <c r="H49" i="3"/>
  <c r="D50" i="3"/>
  <c r="D36" i="3"/>
  <c r="F52" i="3"/>
  <c r="G37" i="3"/>
  <c r="F34" i="3"/>
  <c r="F36" i="3"/>
  <c r="E36" i="3"/>
  <c r="D49" i="3"/>
  <c r="E52" i="3"/>
  <c r="D37" i="3"/>
  <c r="F53" i="3"/>
  <c r="D53" i="3"/>
  <c r="F49" i="3"/>
  <c r="G50" i="3"/>
  <c r="G51" i="3"/>
  <c r="E49" i="2"/>
  <c r="C49" i="3"/>
  <c r="G67" i="2" l="1"/>
  <c r="O67" i="2" s="1"/>
  <c r="G65" i="2"/>
  <c r="I56" i="2" s="1"/>
  <c r="K56" i="2"/>
  <c r="S56" i="2" s="1"/>
  <c r="J65" i="2"/>
  <c r="H56" i="2"/>
  <c r="H65" i="2" s="1"/>
  <c r="Y59" i="2"/>
  <c r="G83" i="2"/>
  <c r="J73" i="2" s="1"/>
  <c r="R73" i="2" s="1"/>
  <c r="O66" i="2"/>
  <c r="AA31" i="6" a="1"/>
  <c r="AA31" i="6" s="1"/>
  <c r="Y31" i="6" s="1"/>
  <c r="B78" i="5" s="1"/>
  <c r="W28" i="6"/>
  <c r="W30" i="6"/>
  <c r="BG12" i="2" a="1"/>
  <c r="BG12" i="2" s="1"/>
  <c r="BE12" i="2" s="1"/>
  <c r="BC6" i="2"/>
  <c r="W26" i="6"/>
  <c r="AD9" i="6"/>
  <c r="AA9" i="6"/>
  <c r="X9" i="6" s="1"/>
  <c r="AA10" i="6"/>
  <c r="X10" i="6" s="1"/>
  <c r="AD11" i="6"/>
  <c r="AA11" i="6"/>
  <c r="X11" i="6" s="1"/>
  <c r="AA8" i="6"/>
  <c r="X8" i="6" s="1"/>
  <c r="AD8" i="6"/>
  <c r="AD10" i="6"/>
  <c r="AA7" i="6"/>
  <c r="X7" i="6" s="1"/>
  <c r="Z12" i="6"/>
  <c r="W25" i="6"/>
  <c r="W27" i="6"/>
  <c r="AA6" i="6"/>
  <c r="AD7" i="6"/>
  <c r="AD6" i="6"/>
  <c r="W29" i="6"/>
  <c r="BC11" i="2"/>
  <c r="BC10" i="2"/>
  <c r="O65" i="2"/>
  <c r="Y75" i="2"/>
  <c r="O82" i="2"/>
  <c r="I73" i="2"/>
  <c r="Q73" i="2" s="1"/>
  <c r="Y74" i="2"/>
  <c r="G81" i="2"/>
  <c r="Y77" i="2"/>
  <c r="G84" i="2"/>
  <c r="G85" i="2"/>
  <c r="Y78" i="2"/>
  <c r="Y57" i="2"/>
  <c r="K65" i="2"/>
  <c r="K66" i="2"/>
  <c r="AA7" i="2"/>
  <c r="AA6" i="2"/>
  <c r="BC9" i="2"/>
  <c r="BC8" i="2"/>
  <c r="BC7" i="2"/>
  <c r="Z12" i="2"/>
  <c r="H49" i="2"/>
  <c r="AC41" i="2" s="1"/>
  <c r="P40" i="2"/>
  <c r="P34" i="2"/>
  <c r="Q56" i="2"/>
  <c r="I66" i="2"/>
  <c r="Q66" i="2" s="1"/>
  <c r="I67" i="2"/>
  <c r="R56" i="2"/>
  <c r="J67" i="2"/>
  <c r="I64" i="2"/>
  <c r="J64" i="2"/>
  <c r="I50" i="2"/>
  <c r="AB43" i="2" s="1"/>
  <c r="Q40" i="2"/>
  <c r="I48" i="2"/>
  <c r="R40" i="2"/>
  <c r="J48" i="2"/>
  <c r="Q33" i="2"/>
  <c r="AD6" i="2"/>
  <c r="AD10" i="2"/>
  <c r="AD8" i="2"/>
  <c r="AD9" i="2"/>
  <c r="AD7" i="2"/>
  <c r="AD11" i="2"/>
  <c r="AA8" i="2"/>
  <c r="AA11" i="2"/>
  <c r="AA10" i="2"/>
  <c r="AA9" i="2"/>
  <c r="K64" i="2" l="1"/>
  <c r="P56" i="2"/>
  <c r="H67" i="2"/>
  <c r="AB60" i="2" s="1"/>
  <c r="H66" i="2"/>
  <c r="R64" i="2" s="1"/>
  <c r="J77" i="5"/>
  <c r="I77" i="5"/>
  <c r="J74" i="5"/>
  <c r="H77" i="5"/>
  <c r="I74" i="5"/>
  <c r="G77" i="5"/>
  <c r="H74" i="5"/>
  <c r="F77" i="5"/>
  <c r="G74" i="5"/>
  <c r="C77" i="5"/>
  <c r="F74" i="5"/>
  <c r="C74" i="5"/>
  <c r="J76" i="5"/>
  <c r="I76" i="5"/>
  <c r="J73" i="5"/>
  <c r="H76" i="5"/>
  <c r="I73" i="5"/>
  <c r="G76" i="5"/>
  <c r="H73" i="5"/>
  <c r="F76" i="5"/>
  <c r="G73" i="5"/>
  <c r="C76" i="5"/>
  <c r="F73" i="5"/>
  <c r="C73" i="5"/>
  <c r="J75" i="5"/>
  <c r="J72" i="5"/>
  <c r="I75" i="5"/>
  <c r="I72" i="5"/>
  <c r="H75" i="5"/>
  <c r="H72" i="5"/>
  <c r="G75" i="5"/>
  <c r="G72" i="5"/>
  <c r="F75" i="5"/>
  <c r="C72" i="5"/>
  <c r="C75" i="5"/>
  <c r="F72" i="5"/>
  <c r="J82" i="2"/>
  <c r="O83" i="2"/>
  <c r="I83" i="2"/>
  <c r="J84" i="2"/>
  <c r="J85" i="2"/>
  <c r="AA12" i="6" a="1"/>
  <c r="AA12" i="6" s="1"/>
  <c r="Y12" i="6" s="1"/>
  <c r="B40" i="5" s="1"/>
  <c r="X6" i="6"/>
  <c r="C78" i="5"/>
  <c r="R67" i="2"/>
  <c r="Q67" i="2"/>
  <c r="K73" i="2"/>
  <c r="O84" i="2"/>
  <c r="L73" i="2"/>
  <c r="O85" i="2"/>
  <c r="I84" i="2"/>
  <c r="I85" i="2"/>
  <c r="O81" i="2"/>
  <c r="H73" i="2"/>
  <c r="J81" i="2"/>
  <c r="AC76" i="2" s="1"/>
  <c r="I81" i="2"/>
  <c r="C77" i="1"/>
  <c r="J77" i="1" s="1"/>
  <c r="C72" i="1"/>
  <c r="I72" i="1" s="1"/>
  <c r="C76" i="1"/>
  <c r="C73" i="1"/>
  <c r="C75" i="1"/>
  <c r="C74" i="1"/>
  <c r="AA12" i="2" a="1"/>
  <c r="AA12" i="2" s="1"/>
  <c r="Y12" i="2" s="1"/>
  <c r="AB42" i="2"/>
  <c r="P49" i="2"/>
  <c r="S65" i="2"/>
  <c r="Z43" i="2"/>
  <c r="AC59" i="2"/>
  <c r="AB57" i="2"/>
  <c r="AC58" i="2"/>
  <c r="Q64" i="2"/>
  <c r="Z58" i="2"/>
  <c r="AB58" i="2"/>
  <c r="P65" i="2"/>
  <c r="AC57" i="2"/>
  <c r="R65" i="2"/>
  <c r="S66" i="2"/>
  <c r="AC42" i="2"/>
  <c r="Z41" i="2"/>
  <c r="AB41" i="2"/>
  <c r="AD41" i="2" s="1"/>
  <c r="Z42" i="2"/>
  <c r="AC43" i="2"/>
  <c r="AD43" i="2" s="1"/>
  <c r="P50" i="2"/>
  <c r="X7" i="2"/>
  <c r="X6" i="2"/>
  <c r="X9" i="2"/>
  <c r="X10" i="2"/>
  <c r="X11" i="2"/>
  <c r="X8" i="2"/>
  <c r="AB59" i="2" l="1"/>
  <c r="P66" i="2"/>
  <c r="Z59" i="2"/>
  <c r="S64" i="2"/>
  <c r="AC60" i="2"/>
  <c r="Z60" i="2"/>
  <c r="P67" i="2"/>
  <c r="Z57" i="2"/>
  <c r="Q83" i="2"/>
  <c r="R82" i="2"/>
  <c r="C40" i="5"/>
  <c r="F92" i="5"/>
  <c r="C60" i="7" s="1"/>
  <c r="E89" i="5"/>
  <c r="W6" i="6"/>
  <c r="W9" i="6"/>
  <c r="W7" i="6"/>
  <c r="W10" i="6"/>
  <c r="W8" i="6"/>
  <c r="W11" i="6"/>
  <c r="AA60" i="2"/>
  <c r="X60" i="2" s="1"/>
  <c r="AC75" i="2"/>
  <c r="H82" i="2"/>
  <c r="Q81" i="2" s="1"/>
  <c r="P73" i="2"/>
  <c r="H83" i="2"/>
  <c r="H84" i="2"/>
  <c r="H85" i="2"/>
  <c r="T73" i="2"/>
  <c r="L82" i="2"/>
  <c r="L83" i="2"/>
  <c r="L81" i="2"/>
  <c r="L84" i="2"/>
  <c r="K81" i="2"/>
  <c r="AC77" i="2" s="1"/>
  <c r="K82" i="2"/>
  <c r="S82" i="2" s="1"/>
  <c r="K85" i="2"/>
  <c r="S85" i="2" s="1"/>
  <c r="S73" i="2"/>
  <c r="K83" i="2"/>
  <c r="G77" i="1"/>
  <c r="H77" i="1"/>
  <c r="I77" i="1"/>
  <c r="F77" i="1"/>
  <c r="E89" i="1" s="1"/>
  <c r="J72" i="1"/>
  <c r="H72" i="1"/>
  <c r="G72" i="1"/>
  <c r="F72" i="1"/>
  <c r="D88" i="1" s="1"/>
  <c r="I74" i="1"/>
  <c r="H74" i="1"/>
  <c r="G74" i="1"/>
  <c r="F74" i="1"/>
  <c r="D92" i="1" s="1"/>
  <c r="J74" i="1"/>
  <c r="F75" i="1"/>
  <c r="E91" i="1" s="1"/>
  <c r="I75" i="1"/>
  <c r="G75" i="1"/>
  <c r="J75" i="1"/>
  <c r="H75" i="1"/>
  <c r="G76" i="1"/>
  <c r="I76" i="1"/>
  <c r="F76" i="1"/>
  <c r="D90" i="1" s="1"/>
  <c r="J76" i="1"/>
  <c r="H76" i="1"/>
  <c r="J73" i="1"/>
  <c r="F73" i="1"/>
  <c r="E87" i="1" s="1"/>
  <c r="G73" i="1"/>
  <c r="I73" i="1"/>
  <c r="H73" i="1"/>
  <c r="W10" i="2"/>
  <c r="W9" i="2"/>
  <c r="W8" i="2"/>
  <c r="W7" i="2"/>
  <c r="W6" i="2"/>
  <c r="W11" i="2"/>
  <c r="AD42" i="2"/>
  <c r="AA58" i="2"/>
  <c r="X58" i="2" s="1"/>
  <c r="W58" i="2" s="1"/>
  <c r="AA59" i="2"/>
  <c r="X59" i="2" s="1"/>
  <c r="W59" i="2" s="1"/>
  <c r="AD57" i="2"/>
  <c r="AA57" i="2"/>
  <c r="X57" i="2" s="1"/>
  <c r="AD58" i="2"/>
  <c r="AD60" i="2"/>
  <c r="AD59" i="2"/>
  <c r="I36" i="5" l="1"/>
  <c r="C34" i="5"/>
  <c r="H36" i="5"/>
  <c r="H39" i="5"/>
  <c r="G39" i="5"/>
  <c r="F39" i="5"/>
  <c r="J35" i="5"/>
  <c r="I35" i="5"/>
  <c r="I38" i="5"/>
  <c r="G35" i="5"/>
  <c r="G38" i="5"/>
  <c r="J34" i="5"/>
  <c r="I34" i="5"/>
  <c r="J37" i="5"/>
  <c r="I37" i="5"/>
  <c r="C39" i="5"/>
  <c r="F37" i="5"/>
  <c r="C37" i="5"/>
  <c r="J36" i="5"/>
  <c r="J39" i="5"/>
  <c r="F36" i="5"/>
  <c r="J38" i="5"/>
  <c r="F35" i="5"/>
  <c r="F38" i="5"/>
  <c r="H34" i="5"/>
  <c r="F34" i="5"/>
  <c r="C38" i="5"/>
  <c r="C36" i="5"/>
  <c r="I39" i="5"/>
  <c r="G36" i="5"/>
  <c r="H35" i="5"/>
  <c r="H38" i="5"/>
  <c r="G34" i="5"/>
  <c r="H37" i="5"/>
  <c r="G37" i="5"/>
  <c r="C35" i="5"/>
  <c r="K87" i="5"/>
  <c r="C46" i="7" s="1"/>
  <c r="D88" i="5"/>
  <c r="D92" i="5"/>
  <c r="F90" i="5"/>
  <c r="C50" i="7" s="1"/>
  <c r="E91" i="5"/>
  <c r="K89" i="5"/>
  <c r="C56" i="7" s="1"/>
  <c r="F88" i="5"/>
  <c r="C40" i="7" s="1"/>
  <c r="D90" i="5"/>
  <c r="K91" i="5"/>
  <c r="C66" i="7" s="1"/>
  <c r="E87" i="5"/>
  <c r="AB74" i="2"/>
  <c r="R84" i="2"/>
  <c r="S83" i="2"/>
  <c r="T84" i="2"/>
  <c r="T82" i="2"/>
  <c r="Q85" i="2"/>
  <c r="AC78" i="2"/>
  <c r="T81" i="2"/>
  <c r="Z74" i="2"/>
  <c r="Z78" i="2"/>
  <c r="P85" i="2"/>
  <c r="AB78" i="2"/>
  <c r="R81" i="2"/>
  <c r="Z76" i="2"/>
  <c r="P83" i="2"/>
  <c r="AB76" i="2"/>
  <c r="AD76" i="2" s="1"/>
  <c r="R85" i="2"/>
  <c r="T83" i="2"/>
  <c r="S81" i="2"/>
  <c r="P84" i="2"/>
  <c r="AB77" i="2"/>
  <c r="AD77" i="2" s="1"/>
  <c r="Z77" i="2"/>
  <c r="P82" i="2"/>
  <c r="AC74" i="2"/>
  <c r="AB75" i="2"/>
  <c r="AD75" i="2" s="1"/>
  <c r="Z75" i="2"/>
  <c r="Q84" i="2"/>
  <c r="W60" i="2"/>
  <c r="W57" i="2"/>
  <c r="K87" i="1"/>
  <c r="B46" i="7" s="1"/>
  <c r="F92" i="1"/>
  <c r="B60" i="7" s="1"/>
  <c r="F90" i="1"/>
  <c r="B50" i="7" s="1"/>
  <c r="F88" i="1"/>
  <c r="B40" i="7" s="1"/>
  <c r="K89" i="1"/>
  <c r="B56" i="7" s="1"/>
  <c r="K91" i="1"/>
  <c r="B66" i="7" s="1"/>
  <c r="C34" i="1"/>
  <c r="C37" i="1"/>
  <c r="K75" i="1" s="1"/>
  <c r="C39" i="1"/>
  <c r="K77" i="1" s="1"/>
  <c r="C36" i="1"/>
  <c r="K74" i="1" s="1"/>
  <c r="C38" i="1"/>
  <c r="K76" i="1" s="1"/>
  <c r="C35" i="1"/>
  <c r="K73" i="1" s="1"/>
  <c r="K39" i="5" l="1"/>
  <c r="K77" i="5"/>
  <c r="K37" i="5"/>
  <c r="K75" i="5"/>
  <c r="K35" i="5"/>
  <c r="K73" i="5"/>
  <c r="K36" i="5"/>
  <c r="K74" i="5"/>
  <c r="K38" i="5"/>
  <c r="K76" i="5"/>
  <c r="AD78" i="2"/>
  <c r="AD74" i="2"/>
  <c r="F95" i="1"/>
  <c r="B80" i="7" s="1"/>
  <c r="F97" i="1"/>
  <c r="B90" i="7" s="1"/>
  <c r="F93" i="1"/>
  <c r="B70" i="7" s="1"/>
  <c r="K94" i="1"/>
  <c r="B76" i="7" s="1"/>
  <c r="K96" i="1"/>
  <c r="E98" i="1" s="1"/>
  <c r="K98" i="1"/>
  <c r="B96" i="7" s="1"/>
  <c r="AA77" i="2"/>
  <c r="X77" i="2" s="1"/>
  <c r="K34" i="5"/>
  <c r="K72" i="5"/>
  <c r="AA78" i="2"/>
  <c r="X78" i="2" s="1"/>
  <c r="AA75" i="2"/>
  <c r="X75" i="2" s="1"/>
  <c r="AA76" i="2"/>
  <c r="X76" i="2" s="1"/>
  <c r="AA74" i="2"/>
  <c r="X74" i="2" s="1"/>
  <c r="W74" i="2" s="1"/>
  <c r="C105" i="1"/>
  <c r="B100" i="7" s="1"/>
  <c r="C108" i="1"/>
  <c r="F34" i="1"/>
  <c r="K72" i="1"/>
  <c r="G34" i="1"/>
  <c r="H34" i="1"/>
  <c r="I34" i="1"/>
  <c r="J34" i="1"/>
  <c r="K34" i="1"/>
  <c r="H36" i="1"/>
  <c r="F36" i="1"/>
  <c r="D91" i="1" s="1"/>
  <c r="G36" i="1"/>
  <c r="K36" i="1"/>
  <c r="J36" i="1"/>
  <c r="I36" i="1"/>
  <c r="F38" i="1"/>
  <c r="D89" i="1" s="1"/>
  <c r="G38" i="1"/>
  <c r="K38" i="1"/>
  <c r="J38" i="1"/>
  <c r="I38" i="1"/>
  <c r="H38" i="1"/>
  <c r="K39" i="1"/>
  <c r="J39" i="1"/>
  <c r="I39" i="1"/>
  <c r="H39" i="1"/>
  <c r="G39" i="1"/>
  <c r="F39" i="1"/>
  <c r="E90" i="1" s="1"/>
  <c r="K35" i="1"/>
  <c r="F35" i="1"/>
  <c r="E88" i="1" s="1"/>
  <c r="G35" i="1"/>
  <c r="J35" i="1"/>
  <c r="I35" i="1"/>
  <c r="H35" i="1"/>
  <c r="K37" i="1"/>
  <c r="J37" i="1"/>
  <c r="G37" i="1"/>
  <c r="I37" i="1"/>
  <c r="H37" i="1"/>
  <c r="F37" i="1"/>
  <c r="E92" i="1" s="1"/>
  <c r="D95" i="1" l="1"/>
  <c r="E96" i="1"/>
  <c r="E94" i="1"/>
  <c r="D97" i="1"/>
  <c r="D93" i="1"/>
  <c r="D87" i="1"/>
  <c r="K88" i="5"/>
  <c r="C41" i="7" s="1"/>
  <c r="E90" i="5"/>
  <c r="F89" i="5"/>
  <c r="C55" i="7" s="1"/>
  <c r="D91" i="5"/>
  <c r="E88" i="5"/>
  <c r="K92" i="5"/>
  <c r="C61" i="7" s="1"/>
  <c r="K90" i="5"/>
  <c r="C51" i="7" s="1"/>
  <c r="E92" i="5"/>
  <c r="D89" i="5"/>
  <c r="F87" i="5"/>
  <c r="C45" i="7" s="1"/>
  <c r="F91" i="5"/>
  <c r="C65" i="7" s="1"/>
  <c r="D87" i="5"/>
  <c r="W78" i="2"/>
  <c r="W76" i="2"/>
  <c r="W75" i="2"/>
  <c r="W77" i="2"/>
  <c r="K92" i="1"/>
  <c r="B61" i="7" s="1"/>
  <c r="J60" i="7" s="1"/>
  <c r="K60" i="7" s="1"/>
  <c r="F89" i="1"/>
  <c r="B55" i="7" s="1"/>
  <c r="J55" i="7" s="1"/>
  <c r="K56" i="7" s="1"/>
  <c r="K90" i="1"/>
  <c r="B51" i="7" s="1"/>
  <c r="J50" i="7" s="1"/>
  <c r="K50" i="7" s="1"/>
  <c r="F87" i="1"/>
  <c r="B45" i="7" s="1"/>
  <c r="K88" i="1"/>
  <c r="B41" i="7" s="1"/>
  <c r="F91" i="1"/>
  <c r="B65" i="7" s="1"/>
  <c r="J65" i="7" s="1"/>
  <c r="K66" i="7" s="1"/>
  <c r="J45" i="7" l="1"/>
  <c r="K46" i="7" s="1"/>
  <c r="J40" i="7"/>
  <c r="K40" i="7" s="1"/>
  <c r="K61" i="7"/>
  <c r="L60" i="7"/>
  <c r="K51" i="7"/>
  <c r="L50" i="7"/>
  <c r="K55" i="7"/>
  <c r="L55" i="7"/>
  <c r="K65" i="7"/>
  <c r="L65" i="7"/>
  <c r="K93" i="1"/>
  <c r="K95" i="1"/>
  <c r="K97" i="1"/>
  <c r="B91" i="7" s="1"/>
  <c r="F98" i="1"/>
  <c r="F96" i="1"/>
  <c r="B85" i="7" s="1"/>
  <c r="F94" i="1"/>
  <c r="D96" i="1" s="1"/>
  <c r="C109" i="1"/>
  <c r="C104" i="1"/>
  <c r="B101" i="7" s="1"/>
  <c r="C113" i="1"/>
  <c r="C112" i="1"/>
  <c r="C107" i="1"/>
  <c r="C106" i="1"/>
  <c r="K45" i="7" l="1"/>
  <c r="L45" i="7"/>
  <c r="L40" i="7"/>
  <c r="K41" i="7"/>
  <c r="C110" i="1"/>
  <c r="B81" i="7"/>
  <c r="J85" i="7"/>
  <c r="K85" i="7" s="1"/>
  <c r="C103" i="1"/>
  <c r="B102" i="7" s="1"/>
  <c r="B95" i="7"/>
  <c r="E97" i="1"/>
  <c r="E93" i="1"/>
  <c r="C114" i="1"/>
  <c r="B71" i="7"/>
  <c r="E95" i="1"/>
  <c r="D94" i="1"/>
  <c r="J90" i="7"/>
  <c r="L90" i="7" s="1"/>
  <c r="D98" i="1"/>
  <c r="C111" i="1"/>
  <c r="B75" i="7"/>
  <c r="M60" i="7"/>
  <c r="M50" i="7"/>
  <c r="M65" i="7"/>
  <c r="M55" i="7"/>
  <c r="R49" i="2"/>
  <c r="AA42" i="2" s="1"/>
  <c r="M45" i="7" l="1"/>
  <c r="M40" i="7"/>
  <c r="P5" i="7" s="1"/>
  <c r="K91" i="7"/>
  <c r="K90" i="7"/>
  <c r="J100" i="7"/>
  <c r="J70" i="7"/>
  <c r="K70" i="7" s="1"/>
  <c r="K86" i="7"/>
  <c r="J80" i="7"/>
  <c r="J95" i="7"/>
  <c r="L85" i="7"/>
  <c r="J75" i="7"/>
  <c r="L75" i="7" s="1"/>
  <c r="X42" i="2"/>
  <c r="Q48" i="2"/>
  <c r="Q50" i="2"/>
  <c r="AA43" i="2" s="1"/>
  <c r="R48" i="2"/>
  <c r="Y27" i="2"/>
  <c r="L95" i="7" l="1"/>
  <c r="K96" i="7"/>
  <c r="K102" i="7"/>
  <c r="K100" i="7"/>
  <c r="K95" i="7"/>
  <c r="M90" i="7"/>
  <c r="L100" i="7"/>
  <c r="M85" i="7"/>
  <c r="K75" i="7"/>
  <c r="K76" i="7"/>
  <c r="K80" i="7"/>
  <c r="K71" i="7"/>
  <c r="L80" i="7"/>
  <c r="L70" i="7"/>
  <c r="K81" i="7"/>
  <c r="K101" i="7"/>
  <c r="X43" i="2"/>
  <c r="AA41" i="2"/>
  <c r="AC26" i="2"/>
  <c r="Y26" i="2"/>
  <c r="M75" i="7" l="1"/>
  <c r="M95" i="7"/>
  <c r="M70" i="7"/>
  <c r="M80" i="7"/>
  <c r="X41" i="2"/>
  <c r="W43" i="2" s="1"/>
  <c r="AB27" i="2"/>
  <c r="AB26" i="2"/>
  <c r="AD26" i="2" s="1"/>
  <c r="AC27" i="2"/>
  <c r="Z26" i="2"/>
  <c r="Z27" i="2"/>
  <c r="AA27" i="2"/>
  <c r="P6" i="7" l="1"/>
  <c r="P8" i="7" s="1"/>
  <c r="W41" i="2"/>
  <c r="W42" i="2"/>
  <c r="AD27" i="2"/>
  <c r="X27" i="2"/>
  <c r="AA26" i="2"/>
  <c r="X26" i="2" s="1"/>
  <c r="W27" i="2" l="1"/>
  <c r="W26" i="2"/>
  <c r="H11" i="3"/>
  <c r="C10" i="3"/>
  <c r="C11" i="3"/>
  <c r="F11" i="3"/>
  <c r="E10" i="3"/>
  <c r="G11" i="3"/>
  <c r="G10" i="3"/>
  <c r="D10" i="3"/>
  <c r="F10" i="3"/>
  <c r="E11" i="3"/>
  <c r="H10" i="3"/>
  <c r="D11" i="3"/>
  <c r="B40" i="1" l="1"/>
  <c r="C4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<sst xmlns="http://schemas.openxmlformats.org/spreadsheetml/2006/main" count="1017" uniqueCount="170">
  <si>
    <t>Tag 1</t>
  </si>
  <si>
    <t>Vorrunde</t>
  </si>
  <si>
    <t>Gruppe A</t>
  </si>
  <si>
    <t>Ergebnis</t>
  </si>
  <si>
    <t>Zeit</t>
  </si>
  <si>
    <t>Spiel</t>
  </si>
  <si>
    <t>Schiri</t>
  </si>
  <si>
    <t>Team 1</t>
  </si>
  <si>
    <t>Team 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</si>
  <si>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</si>
  <si>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</si>
  <si>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</si>
  <si>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</si>
  <si>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</si>
  <si>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</si>
  <si>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</si>
  <si>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</si>
  <si>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</si>
  <si>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</si>
  <si>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</si>
  <si>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</si>
  <si>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</si>
  <si>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</si>
  <si>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</si>
  <si>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:</t>
  </si>
  <si>
    <t>Spiele</t>
  </si>
  <si>
    <t>Punkte</t>
  </si>
  <si>
    <t>Tore</t>
  </si>
  <si>
    <t>Gegentore</t>
  </si>
  <si>
    <t>Team A</t>
  </si>
  <si>
    <t>Team B</t>
  </si>
  <si>
    <t>Differenz</t>
  </si>
  <si>
    <t>Noise</t>
  </si>
  <si>
    <t>Team</t>
  </si>
  <si>
    <t>Platz 3</t>
  </si>
  <si>
    <t>Platz 1</t>
  </si>
  <si>
    <t>Direkter Vergleich zwischen zwei Teams</t>
  </si>
  <si>
    <t>Rechner für die direkten Vergleiche</t>
  </si>
  <si>
    <t>2er Vergleich</t>
  </si>
  <si>
    <t xml:space="preserve">Gegentore </t>
  </si>
  <si>
    <t>Platzierung</t>
  </si>
  <si>
    <t>Direkter Vergleich zwischen drei Teams</t>
  </si>
  <si>
    <t>Team 3</t>
  </si>
  <si>
    <t>3er Vergleich</t>
  </si>
  <si>
    <t>Direkter Vergleich zwischen vier Teams</t>
  </si>
  <si>
    <t>Team 4</t>
  </si>
  <si>
    <t>4er Vergleich</t>
  </si>
  <si>
    <t>Direkter Vergleich zwischen fünf Teams</t>
  </si>
  <si>
    <t>Team 5</t>
  </si>
  <si>
    <t>5er Vergleich</t>
  </si>
  <si>
    <t>Penalty</t>
  </si>
  <si>
    <t>HF1</t>
  </si>
  <si>
    <t>HF2</t>
  </si>
  <si>
    <t>P</t>
  </si>
  <si>
    <t>T</t>
  </si>
  <si>
    <t>GT</t>
  </si>
  <si>
    <t>D</t>
  </si>
  <si>
    <t>Verlängerung</t>
  </si>
  <si>
    <t>S</t>
  </si>
  <si>
    <t>#</t>
  </si>
  <si>
    <t>Abschlussplatzierungen</t>
  </si>
  <si>
    <t>BTC Heisse Reifen</t>
  </si>
  <si>
    <t>Hockey Hawks</t>
  </si>
  <si>
    <t>Dampfnudel</t>
  </si>
  <si>
    <t>FunPowerTeam</t>
  </si>
  <si>
    <t>Einradhockey Elmshorn</t>
  </si>
  <si>
    <t>MUH-Bande Jena</t>
  </si>
  <si>
    <t>REI</t>
  </si>
  <si>
    <t>HAW</t>
  </si>
  <si>
    <t>DMP</t>
  </si>
  <si>
    <t>FPT</t>
  </si>
  <si>
    <t>ELM</t>
  </si>
  <si>
    <t>MUH</t>
  </si>
  <si>
    <t>Vorrunde (Spielzeit: 2 x 12 Minuten)</t>
  </si>
  <si>
    <t>Ergebnis Gruppe A</t>
  </si>
  <si>
    <t>Gruppe B</t>
  </si>
  <si>
    <t>OnewheeleRS</t>
  </si>
  <si>
    <t>Querrad</t>
  </si>
  <si>
    <t>MJC Trier - Die Legionäre</t>
  </si>
  <si>
    <t>SKV Mörfelden UniThunder</t>
  </si>
  <si>
    <t>MJC Trier - Die Treverer</t>
  </si>
  <si>
    <t>Geisterfahrer</t>
  </si>
  <si>
    <t>ONE</t>
  </si>
  <si>
    <t>QRR</t>
  </si>
  <si>
    <t>LEG</t>
  </si>
  <si>
    <t>UTH</t>
  </si>
  <si>
    <t>TRV</t>
  </si>
  <si>
    <t>GST</t>
  </si>
  <si>
    <t>Ergebnis Gruppe B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</si>
  <si>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</si>
  <si>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</si>
  <si>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</si>
  <si>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</si>
  <si>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</si>
  <si>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</si>
  <si>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</si>
  <si>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</si>
  <si>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</si>
  <si>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</si>
  <si>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</si>
  <si>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</si>
  <si>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</si>
  <si>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</si>
  <si>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</si>
  <si>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Tag 2</t>
  </si>
  <si>
    <t>Finalspiele</t>
  </si>
  <si>
    <t>HF5</t>
  </si>
  <si>
    <t>HF6</t>
  </si>
  <si>
    <t>HF3</t>
  </si>
  <si>
    <t>HF4</t>
  </si>
  <si>
    <t>Platz 11</t>
  </si>
  <si>
    <t>Platz 9</t>
  </si>
  <si>
    <t>Platz 7</t>
  </si>
  <si>
    <t>Platz 5</t>
  </si>
  <si>
    <t>Finalrunde (Spielzeit: 2 x 12 Minuten)</t>
  </si>
  <si>
    <t>Auswertbar?</t>
  </si>
  <si>
    <t>Tendenz</t>
  </si>
  <si>
    <t>Tatsächlich</t>
  </si>
  <si>
    <t>Tipp</t>
  </si>
  <si>
    <t>Korrekt</t>
  </si>
  <si>
    <t>Halbfinalspiele</t>
  </si>
  <si>
    <t>Halfinale 5</t>
  </si>
  <si>
    <t>Halfinale 6</t>
  </si>
  <si>
    <t>Halfinale 4</t>
  </si>
  <si>
    <t>Halfinale 3</t>
  </si>
  <si>
    <t>Halfinale 2</t>
  </si>
  <si>
    <t>Halfinale 1</t>
  </si>
  <si>
    <t>Spiel um Platz 11</t>
  </si>
  <si>
    <t>Spiel um Platz 9</t>
  </si>
  <si>
    <t>Spiel um Platz 7</t>
  </si>
  <si>
    <t>Spiel um Platz 5</t>
  </si>
  <si>
    <t>Spiel um Platz 3</t>
  </si>
  <si>
    <t>Spiel um Platz 1</t>
  </si>
  <si>
    <t>Bonus</t>
  </si>
  <si>
    <t>Endplatzierungen</t>
  </si>
  <si>
    <t>Ergebnisse der Gruppe A</t>
  </si>
  <si>
    <t>Ergebnisse der Gruppe B</t>
  </si>
  <si>
    <t>/ 75</t>
  </si>
  <si>
    <t>/ 18</t>
  </si>
  <si>
    <t>Platzierungen</t>
  </si>
  <si>
    <t>/ 11</t>
  </si>
  <si>
    <t>/ 197</t>
  </si>
  <si>
    <t>Blatt</t>
  </si>
  <si>
    <t>Erklärung</t>
  </si>
  <si>
    <t>Tippspiel</t>
  </si>
  <si>
    <t>Hier können die Tipps abgegeben werden.</t>
  </si>
  <si>
    <t>Spielplan</t>
  </si>
  <si>
    <t>Hier werden die richtigen Ergebnisse eingetragen, um die Tipps auswerten zu können.</t>
  </si>
  <si>
    <t>Vergleich</t>
  </si>
  <si>
    <t>Hilfsblatt, um einen direkten Vergleich lösen zu können.</t>
  </si>
  <si>
    <t>Auswertung</t>
  </si>
  <si>
    <t>Punkte auf Basis der Tipps und der tatsächlichen Ergebnisse.</t>
  </si>
  <si>
    <t>Anleitung</t>
  </si>
  <si>
    <t>Die Tipps können im Blatt "Tippspiel" abgegeben werden.</t>
  </si>
  <si>
    <t>Alle gelb hinterlegten Zellen können bearbeitet oder gefüllt werden.</t>
  </si>
  <si>
    <t>Liegt ein direkter Vergleich vor, so muss dieser selbst gelöst werden. Dafür steht das Blatt "Vergleich"</t>
  </si>
  <si>
    <t>Ist ein direkter Vergleich zu lösen, so steht dies unter der jeweiligen Tabelle. Hier müssen jene Teams</t>
  </si>
  <si>
    <t>verglichen werden, die die gleiche Punktzahl haben. Gleiche Punkte sind farblich hervorgehoben.</t>
  </si>
  <si>
    <t>Wie genau ein direkter Vergleich gelöst wird, ist im entsprechenden Blatt erklärt.</t>
  </si>
  <si>
    <t>zur Verfügung. Durch ein Dropdown können die Positionen angepasst werden.</t>
  </si>
  <si>
    <t>"Direkter Vergleich zwischen vier Teams".</t>
  </si>
  <si>
    <t>den Spielplan übernommen werden.</t>
  </si>
  <si>
    <t>nutzen oder müsst ggfs ein Penaltyschießen eintragen.</t>
  </si>
  <si>
    <t xml:space="preserve">1. Gib ganz oben an, ob du den Vergleich für das Tippspiel oder den Spielplan nutzen möchtest. Dafür </t>
  </si>
  <si>
    <t>ist ein Dropdown hinterlegt.</t>
  </si>
  <si>
    <t xml:space="preserve">2. Starte mit dem richtigen direkten Vergleich. Müssen vier Teams verglichen werden, so wähle </t>
  </si>
  <si>
    <t>3. Trage die Teams durch die Dropdown-Liste in die gelb markierten Zellen ein.</t>
  </si>
  <si>
    <t xml:space="preserve">4. Die Teams werden entsprechend ihrer Platzierung angezeigt. Sie müssen so in das Tippspiel oder </t>
  </si>
  <si>
    <t xml:space="preserve">5. Lässt sich der direkte Vergleich nicht sofort lösen, so könnt ihr die anderen Vergleiche </t>
  </si>
  <si>
    <t>Verwendung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</si>
</sst>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C946B"/>
        <bgColor indexed="64"/>
      </patternFill>
    </fill>
    <fill>
      <patternFill patternType="solid">
        <fgColor rgb="FFBD6B99"/>
        <bgColor indexed="64"/>
      </patternFill>
    </fill>
    <fill>
      <patternFill patternType="solid">
        <fgColor rgb="FF6B7EBD"/>
        <bgColor indexed="64"/>
      </patternFill>
    </fill>
    <fill>
      <patternFill patternType="solid">
        <fgColor rgb="FFFFEDC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4" fillId="0" borderId="0" xfId="0" applyFont="1"/>
    <xf numFmtId="0" fontId="0" fillId="0" borderId="0" xfId="0" applyAlignment="1">
      <alignment vertical="center"/>
    </xf>
    <xf numFmtId="0" fontId="5" fillId="0" borderId="0" xfId="0" applyFont="1"/>
    <xf numFmtId="0" fontId="1" fillId="6" borderId="2" xfId="0" applyFont="1" applyFill="1" applyBorder="1"/>
    <xf numFmtId="0" fontId="1" fillId="6" borderId="3" xfId="0" applyFont="1" applyFill="1" applyBorder="1"/>
    <xf numFmtId="0" fontId="0" fillId="0" borderId="1" xfId="0" applyBorder="1" applyAlignment="1">
      <alignment horizontal="center"/>
    </xf>
    <xf numFmtId="0" fontId="4" fillId="0" borderId="3" xfId="0" applyFont="1" applyBorder="1"/>
    <xf numFmtId="0" fontId="0" fillId="0" borderId="4" xfId="0" applyBorder="1" applyAlignment="1">
      <alignment horizontal="center"/>
    </xf>
    <xf numFmtId="0" fontId="4" fillId="0" borderId="6" xfId="0" applyFont="1" applyBorder="1"/>
    <xf numFmtId="0" fontId="1" fillId="6" borderId="1" xfId="0" applyFont="1" applyFill="1" applyBorder="1" applyAlignment="1">
      <alignment horizontal="left" indent="1"/>
    </xf>
    <xf numFmtId="0" fontId="1" fillId="6" borderId="5" xfId="0" applyFont="1" applyFill="1" applyBorder="1"/>
    <xf numFmtId="0" fontId="1" fillId="6" borderId="6" xfId="0" applyFont="1" applyFill="1" applyBorder="1"/>
    <xf numFmtId="0" fontId="1" fillId="6" borderId="4" xfId="0" applyFont="1" applyFill="1" applyBorder="1" applyAlignment="1">
      <alignment horizontal="left" indent="1"/>
    </xf>
    <xf numFmtId="0" fontId="4" fillId="6" borderId="7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20" fontId="0" fillId="0" borderId="1" xfId="0" applyNumberForma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left" vertical="center"/>
    </xf>
    <xf numFmtId="0" fontId="4" fillId="6" borderId="0" xfId="0" applyFont="1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4" fillId="6" borderId="14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20" fontId="0" fillId="0" borderId="7" xfId="0" applyNumberFormat="1" applyBorder="1" applyAlignment="1">
      <alignment vertical="center"/>
    </xf>
    <xf numFmtId="0" fontId="0" fillId="0" borderId="8" xfId="0" applyBorder="1" applyAlignment="1">
      <alignment vertical="center"/>
    </xf>
    <xf numFmtId="0" fontId="1" fillId="6" borderId="0" xfId="0" applyFont="1" applyFill="1" applyAlignment="1">
      <alignment horizontal="left" indent="1"/>
    </xf>
    <xf numFmtId="0" fontId="0" fillId="0" borderId="16" xfId="0" applyBorder="1" applyAlignment="1">
      <alignment horizontal="center" vertical="center"/>
    </xf>
    <xf numFmtId="0" fontId="4" fillId="6" borderId="0" xfId="0" applyFont="1" applyFill="1" applyAlignment="1">
      <alignment horizontal="left"/>
    </xf>
    <xf numFmtId="0" fontId="1" fillId="6" borderId="13" xfId="0" applyFont="1" applyFill="1" applyBorder="1" applyAlignment="1">
      <alignment horizontal="left" inden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0" fillId="0" borderId="2" xfId="0" applyBorder="1"/>
    <xf numFmtId="0" fontId="0" fillId="0" borderId="5" xfId="0" applyBorder="1"/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4" fillId="4" borderId="1" xfId="0" applyFont="1" applyFill="1" applyBorder="1" applyAlignment="1">
      <alignment horizontal="center"/>
    </xf>
    <xf numFmtId="0" fontId="0" fillId="4" borderId="2" xfId="0" applyFill="1" applyBorder="1"/>
    <xf numFmtId="0" fontId="4" fillId="4" borderId="2" xfId="0" applyFont="1" applyFill="1" applyBorder="1"/>
    <xf numFmtId="0" fontId="0" fillId="0" borderId="14" xfId="0" applyBorder="1"/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/>
    </xf>
    <xf numFmtId="0" fontId="4" fillId="4" borderId="19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6" borderId="4" xfId="0" applyFont="1" applyFill="1" applyBorder="1"/>
    <xf numFmtId="0" fontId="4" fillId="6" borderId="14" xfId="0" applyFont="1" applyFill="1" applyBorder="1"/>
    <xf numFmtId="0" fontId="4" fillId="6" borderId="1" xfId="0" applyFont="1" applyFill="1" applyBorder="1"/>
    <xf numFmtId="0" fontId="0" fillId="0" borderId="6" xfId="0" quotePrefix="1" applyBorder="1" applyAlignment="1">
      <alignment horizontal="right"/>
    </xf>
    <xf numFmtId="0" fontId="0" fillId="0" borderId="13" xfId="0" quotePrefix="1" applyBorder="1" applyAlignment="1">
      <alignment horizontal="right"/>
    </xf>
    <xf numFmtId="0" fontId="0" fillId="0" borderId="3" xfId="0" quotePrefix="1" applyBorder="1" applyAlignment="1">
      <alignment horizontal="right"/>
    </xf>
    <xf numFmtId="0" fontId="0" fillId="7" borderId="7" xfId="0" applyFill="1" applyBorder="1" applyAlignment="1" applyProtection="1">
      <alignment vertical="center"/>
      <protection locked="0"/>
    </xf>
    <xf numFmtId="0" fontId="0" fillId="7" borderId="1" xfId="0" applyFill="1" applyBorder="1" applyAlignment="1" applyProtection="1">
      <alignment vertical="center"/>
      <protection locked="0"/>
    </xf>
    <xf numFmtId="0" fontId="0" fillId="7" borderId="9" xfId="0" applyFill="1" applyBorder="1" applyAlignment="1" applyProtection="1">
      <alignment vertical="center"/>
      <protection locked="0"/>
    </xf>
    <xf numFmtId="0" fontId="0" fillId="7" borderId="10" xfId="0" quotePrefix="1" applyFill="1" applyBorder="1" applyAlignment="1" applyProtection="1">
      <alignment vertical="center"/>
      <protection locked="0"/>
    </xf>
    <xf numFmtId="0" fontId="0" fillId="7" borderId="3" xfId="0" applyFill="1" applyBorder="1" applyAlignment="1" applyProtection="1">
      <alignment vertical="center"/>
      <protection locked="0"/>
    </xf>
    <xf numFmtId="0" fontId="0" fillId="7" borderId="15" xfId="0" quotePrefix="1" applyFill="1" applyBorder="1" applyAlignment="1" applyProtection="1">
      <alignment vertical="center"/>
      <protection locked="0"/>
    </xf>
    <xf numFmtId="0" fontId="0" fillId="7" borderId="12" xfId="0" quotePrefix="1" applyFill="1" applyBorder="1" applyAlignment="1" applyProtection="1">
      <alignment vertical="center"/>
      <protection locked="0"/>
    </xf>
    <xf numFmtId="0" fontId="0" fillId="7" borderId="17" xfId="0" quotePrefix="1" applyFill="1" applyBorder="1" applyAlignment="1" applyProtection="1">
      <alignment vertical="center"/>
      <protection locked="0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6" borderId="1" xfId="0" applyFont="1" applyFill="1" applyBorder="1"/>
    <xf numFmtId="0" fontId="0" fillId="7" borderId="3" xfId="0" applyFill="1" applyBorder="1" applyProtection="1">
      <protection locked="0"/>
    </xf>
    <xf numFmtId="0" fontId="1" fillId="6" borderId="4" xfId="0" applyFont="1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5" xfId="0" applyFill="1" applyBorder="1"/>
    <xf numFmtId="0" fontId="0" fillId="6" borderId="6" xfId="0" applyFill="1" applyBorder="1"/>
    <xf numFmtId="0" fontId="1" fillId="6" borderId="1" xfId="0" applyFont="1" applyFill="1" applyBorder="1" applyAlignment="1">
      <alignment horizontal="left" vertical="center" indent="1"/>
    </xf>
    <xf numFmtId="0" fontId="1" fillId="6" borderId="4" xfId="0" applyFont="1" applyFill="1" applyBorder="1" applyAlignment="1">
      <alignment horizontal="left" vertical="center" indent="1"/>
    </xf>
    <xf numFmtId="0" fontId="0" fillId="0" borderId="7" xfId="0" applyBorder="1" applyAlignment="1" applyProtection="1">
      <alignment vertical="center"/>
      <protection locked="0"/>
    </xf>
    <xf numFmtId="0" fontId="0" fillId="0" borderId="1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quotePrefix="1" applyBorder="1" applyAlignment="1" applyProtection="1">
      <alignment vertical="center"/>
      <protection locked="0"/>
    </xf>
    <xf numFmtId="0" fontId="0" fillId="0" borderId="3" xfId="0" applyBorder="1" applyAlignment="1" applyProtection="1">
      <alignment vertical="center"/>
      <protection locked="0"/>
    </xf>
    <xf numFmtId="0" fontId="0" fillId="0" borderId="15" xfId="0" quotePrefix="1" applyBorder="1" applyAlignment="1" applyProtection="1">
      <alignment vertical="center"/>
      <protection locked="0"/>
    </xf>
    <xf numFmtId="0" fontId="0" fillId="0" borderId="12" xfId="0" quotePrefix="1" applyBorder="1" applyAlignment="1" applyProtection="1">
      <alignment vertical="center"/>
      <protection locked="0"/>
    </xf>
    <xf numFmtId="0" fontId="0" fillId="0" borderId="17" xfId="0" quotePrefix="1" applyBorder="1" applyAlignment="1" applyProtection="1">
      <alignment vertical="center"/>
      <protection locked="0"/>
    </xf>
    <xf numFmtId="0" fontId="4" fillId="6" borderId="5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4" fillId="6" borderId="9" xfId="0" applyFon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4" fillId="6" borderId="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0" fillId="7" borderId="2" xfId="0" applyFill="1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4" fillId="6" borderId="4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0" fillId="0" borderId="3" xfId="0" applyBorder="1" applyAlignment="1">
      <alignment horizontal="left"/>
    </xf>
    <xf numFmtId="0" fontId="1" fillId="6" borderId="4" xfId="0" applyFont="1" applyFill="1" applyBorder="1" applyAlignment="1">
      <alignment horizontal="left" indent="1"/>
    </xf>
    <xf numFmtId="0" fontId="1" fillId="6" borderId="5" xfId="0" applyFont="1" applyFill="1" applyBorder="1" applyAlignment="1">
      <alignment horizontal="left" indent="1"/>
    </xf>
    <xf numFmtId="0" fontId="1" fillId="6" borderId="6" xfId="0" applyFont="1" applyFill="1" applyBorder="1" applyAlignment="1">
      <alignment horizontal="left" indent="1"/>
    </xf>
    <xf numFmtId="0" fontId="0" fillId="0" borderId="2" xfId="0" applyBorder="1" applyAlignment="1">
      <alignment horizontal="left" vertical="center"/>
    </xf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1" fillId="6" borderId="4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6" borderId="3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textRotation="90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Standard" xfId="0" builtinId="0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  <dxf>
      <font>
        <color auto="1"/>
      </font>
      <fill>
        <patternFill>
          <bgColor rgb="FFE0BAD0"/>
        </patternFill>
      </fill>
    </dxf>
  </dxfs>
  <tableStyles count="0" defaultTableStyle="TableStyleMedium2" defaultPivotStyle="PivotStyleLight16"/>
  <colors>
    <mruColors>
      <color rgb="FFFFEDC1"/>
      <color rgb="FF6B7EBD"/>
      <color rgb="FFE0BAD0"/>
      <color rgb="FFBD6B99"/>
      <color rgb="FFFFE299"/>
      <color rgb="FFBC946B"/>
      <color rgb="FF6CB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944E2-6455-4412-BFE5-1D902C7858BD}">
  <dimension ref="B2:I16"/>
  <sheetViews>
    <sheetView showGridLines="0" tabSelected="1" workbookViewId="0"/>
  </sheetViews>
  <sheetFormatPr baseColWidth="10" defaultRowHeight="15" x14ac:dyDescent="0.25"/>
  <cols>
    <col min="2" max="2" width="12.85546875" customWidth="1"/>
  </cols>
  <sheetData>
    <row r="2" spans="2:9" ht="20.25" customHeight="1" x14ac:dyDescent="0.25">
      <c r="B2" s="86" t="s">
        <v>152</v>
      </c>
      <c r="C2" s="82"/>
      <c r="D2" s="82"/>
      <c r="E2" s="82"/>
      <c r="F2" s="82"/>
      <c r="G2" s="82"/>
      <c r="H2" s="82"/>
      <c r="I2" s="83"/>
    </row>
    <row r="3" spans="2:9" x14ac:dyDescent="0.25">
      <c r="B3" s="49" t="s">
        <v>153</v>
      </c>
      <c r="C3" s="42"/>
      <c r="D3" s="42"/>
      <c r="E3" s="42"/>
      <c r="F3" s="42"/>
      <c r="G3" s="42"/>
      <c r="H3" s="42"/>
      <c r="I3" s="50"/>
    </row>
    <row r="4" spans="2:9" x14ac:dyDescent="0.25">
      <c r="B4" s="58" t="s">
        <v>154</v>
      </c>
      <c r="I4" s="54"/>
    </row>
    <row r="5" spans="2:9" x14ac:dyDescent="0.25">
      <c r="B5" s="58" t="s">
        <v>155</v>
      </c>
      <c r="I5" s="54"/>
    </row>
    <row r="6" spans="2:9" x14ac:dyDescent="0.25">
      <c r="B6" s="58" t="s">
        <v>159</v>
      </c>
      <c r="I6" s="54"/>
    </row>
    <row r="7" spans="2:9" x14ac:dyDescent="0.25">
      <c r="B7" s="58" t="s">
        <v>156</v>
      </c>
      <c r="I7" s="54"/>
    </row>
    <row r="8" spans="2:9" x14ac:dyDescent="0.25">
      <c r="B8" s="58" t="s">
        <v>157</v>
      </c>
      <c r="I8" s="54"/>
    </row>
    <row r="9" spans="2:9" x14ac:dyDescent="0.25">
      <c r="B9" s="51" t="s">
        <v>158</v>
      </c>
      <c r="C9" s="52"/>
      <c r="D9" s="52"/>
      <c r="E9" s="52"/>
      <c r="F9" s="52"/>
      <c r="G9" s="52"/>
      <c r="H9" s="52"/>
      <c r="I9" s="53"/>
    </row>
    <row r="12" spans="2:9" ht="20.25" customHeight="1" x14ac:dyDescent="0.25">
      <c r="B12" s="87" t="s">
        <v>142</v>
      </c>
      <c r="C12" s="87" t="s">
        <v>143</v>
      </c>
      <c r="D12" s="14"/>
      <c r="E12" s="14"/>
      <c r="F12" s="84"/>
      <c r="G12" s="84"/>
      <c r="H12" s="84"/>
      <c r="I12" s="85"/>
    </row>
    <row r="13" spans="2:9" x14ac:dyDescent="0.25">
      <c r="B13" s="46" t="s">
        <v>144</v>
      </c>
      <c r="C13" s="46" t="s">
        <v>145</v>
      </c>
      <c r="D13" s="41"/>
      <c r="E13" s="41"/>
      <c r="F13" s="41"/>
      <c r="G13" s="41"/>
      <c r="H13" s="41"/>
      <c r="I13" s="48"/>
    </row>
    <row r="14" spans="2:9" x14ac:dyDescent="0.25">
      <c r="B14" s="46" t="s">
        <v>146</v>
      </c>
      <c r="C14" s="46" t="s">
        <v>147</v>
      </c>
      <c r="D14" s="41"/>
      <c r="E14" s="41"/>
      <c r="F14" s="41"/>
      <c r="G14" s="41"/>
      <c r="H14" s="41"/>
      <c r="I14" s="48"/>
    </row>
    <row r="15" spans="2:9" x14ac:dyDescent="0.25">
      <c r="B15" s="46" t="s">
        <v>148</v>
      </c>
      <c r="C15" s="46" t="s">
        <v>149</v>
      </c>
      <c r="D15" s="41"/>
      <c r="E15" s="41"/>
      <c r="F15" s="41"/>
      <c r="G15" s="41"/>
      <c r="H15" s="41"/>
      <c r="I15" s="48"/>
    </row>
    <row r="16" spans="2:9" x14ac:dyDescent="0.25">
      <c r="B16" s="51" t="s">
        <v>150</v>
      </c>
      <c r="C16" s="51" t="s">
        <v>151</v>
      </c>
      <c r="D16" s="52"/>
      <c r="E16" s="52"/>
      <c r="F16" s="52"/>
      <c r="G16" s="52"/>
      <c r="H16" s="52"/>
      <c r="I16" s="53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4247-D314-404B-B5BE-4E9421C97E57}">
  <dimension ref="B2:X139"/>
  <sheetViews>
    <sheetView showGridLines="0" zoomScaleNormal="100" workbookViewId="0"/>
  </sheetViews>
  <sheetFormatPr baseColWidth="10" defaultRowHeight="15" x14ac:dyDescent="0.25"/>
  <cols>
    <col min="1" max="1" width="3.7109375" customWidth="1"/>
    <col min="2" max="2" width="7.140625" customWidth="1"/>
    <col min="3" max="3" width="9.85546875" customWidth="1"/>
    <col min="4" max="5" width="8.5703125" customWidth="1"/>
    <col min="6" max="9" width="6.42578125" customWidth="1"/>
    <col min="10" max="10" width="1.7109375" customWidth="1"/>
    <col min="11" max="11" width="4.7109375" customWidth="1"/>
    <col min="12" max="12" width="21" customWidth="1"/>
    <col min="13" max="13" width="6.42578125" customWidth="1"/>
    <col min="14" max="14" width="1.7109375" customWidth="1"/>
    <col min="15" max="16" width="6.42578125" customWidth="1"/>
    <col min="17" max="17" width="1.7109375" customWidth="1"/>
    <col min="18" max="19" width="6.42578125" customWidth="1"/>
    <col min="20" max="20" width="1.7109375" customWidth="1"/>
    <col min="21" max="21" width="6.42578125" customWidth="1"/>
    <col min="22" max="22" width="3.7109375" customWidth="1"/>
    <col min="23" max="24" width="7.42578125" hidden="1" customWidth="1"/>
    <col min="25" max="25" width="3.7109375" customWidth="1"/>
  </cols>
  <sheetData>
    <row r="2" spans="2:21" ht="20.25" customHeight="1" x14ac:dyDescent="0.25">
      <c r="B2" s="101" t="s">
        <v>0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3"/>
    </row>
    <row r="3" spans="2:21" ht="3.75" customHeight="1" x14ac:dyDescent="0.25"/>
    <row r="4" spans="2:21" ht="18.75" customHeight="1" x14ac:dyDescent="0.25">
      <c r="B4" s="104" t="s">
        <v>2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6"/>
    </row>
    <row r="6" spans="2:21" x14ac:dyDescent="0.25">
      <c r="B6" s="13" t="s">
        <v>2</v>
      </c>
      <c r="C6" s="7"/>
      <c r="D6" s="7"/>
      <c r="E6" s="7"/>
      <c r="F6" s="8"/>
      <c r="G6" s="1"/>
      <c r="H6" s="1"/>
    </row>
    <row r="7" spans="2:21" x14ac:dyDescent="0.25">
      <c r="B7" s="11" t="s">
        <v>67</v>
      </c>
      <c r="C7" s="107" t="s">
        <v>61</v>
      </c>
      <c r="D7" s="107"/>
      <c r="E7" s="107"/>
      <c r="F7" s="12" t="str">
        <f t="shared" ref="F7:F12" si="0">B7</f>
        <v>REI</v>
      </c>
    </row>
    <row r="8" spans="2:21" x14ac:dyDescent="0.25">
      <c r="B8" s="9" t="s">
        <v>68</v>
      </c>
      <c r="C8" s="100" t="s">
        <v>62</v>
      </c>
      <c r="D8" s="100"/>
      <c r="E8" s="100"/>
      <c r="F8" s="10" t="str">
        <f t="shared" si="0"/>
        <v>HAW</v>
      </c>
    </row>
    <row r="9" spans="2:21" x14ac:dyDescent="0.25">
      <c r="B9" s="9" t="s">
        <v>69</v>
      </c>
      <c r="C9" s="100" t="s">
        <v>63</v>
      </c>
      <c r="D9" s="100"/>
      <c r="E9" s="100"/>
      <c r="F9" s="10" t="str">
        <f t="shared" si="0"/>
        <v>DMP</v>
      </c>
    </row>
    <row r="10" spans="2:21" x14ac:dyDescent="0.25">
      <c r="B10" s="9" t="s">
        <v>70</v>
      </c>
      <c r="C10" s="100" t="s">
        <v>64</v>
      </c>
      <c r="D10" s="100"/>
      <c r="E10" s="100"/>
      <c r="F10" s="10" t="str">
        <f t="shared" si="0"/>
        <v>FPT</v>
      </c>
    </row>
    <row r="11" spans="2:21" x14ac:dyDescent="0.25">
      <c r="B11" s="9" t="s">
        <v>71</v>
      </c>
      <c r="C11" s="100" t="s">
        <v>65</v>
      </c>
      <c r="D11" s="100"/>
      <c r="E11" s="100"/>
      <c r="F11" s="10" t="str">
        <f t="shared" si="0"/>
        <v>ELM</v>
      </c>
    </row>
    <row r="12" spans="2:21" x14ac:dyDescent="0.25">
      <c r="B12" s="9" t="s">
        <v>72</v>
      </c>
      <c r="C12" s="100" t="s">
        <v>66</v>
      </c>
      <c r="D12" s="100"/>
      <c r="E12" s="100"/>
      <c r="F12" s="10" t="str">
        <f t="shared" si="0"/>
        <v>MUH</v>
      </c>
    </row>
    <row r="14" spans="2:21" x14ac:dyDescent="0.25">
      <c r="B14" s="16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96" t="s">
        <v>3</v>
      </c>
      <c r="N14" s="96"/>
      <c r="O14" s="96"/>
      <c r="P14" s="96" t="s">
        <v>50</v>
      </c>
      <c r="Q14" s="96"/>
      <c r="R14" s="97"/>
    </row>
    <row r="15" spans="2:21" s="5" customFormat="1" x14ac:dyDescent="0.25">
      <c r="B15" s="17" t="s">
        <v>4</v>
      </c>
      <c r="C15" s="18" t="s">
        <v>5</v>
      </c>
      <c r="D15" s="108" t="s">
        <v>6</v>
      </c>
      <c r="E15" s="108"/>
      <c r="F15" s="109" t="s">
        <v>7</v>
      </c>
      <c r="G15" s="109"/>
      <c r="H15" s="109"/>
      <c r="I15" s="109"/>
      <c r="J15" s="19"/>
      <c r="K15" s="19" t="s">
        <v>8</v>
      </c>
      <c r="L15" s="19"/>
      <c r="M15" s="98"/>
      <c r="N15" s="98"/>
      <c r="O15" s="98"/>
      <c r="P15" s="98" t="s">
        <v>50</v>
      </c>
      <c r="Q15" s="98"/>
      <c r="R15" s="99"/>
    </row>
    <row r="16" spans="2:21" s="5" customFormat="1" x14ac:dyDescent="0.25">
      <c r="B16" s="32">
        <v>0.41666666666666669</v>
      </c>
      <c r="C16" s="31" t="s">
        <v>9</v>
      </c>
      <c r="D16" s="31" t="str">
        <f>VLOOKUP(F30,$C$7:$F$12,4,FALSE)</f>
        <v>REI</v>
      </c>
      <c r="E16" s="31" t="str">
        <f>VLOOKUP(K30,$C$7:$F$12,4,FALSE)</f>
        <v>HAW</v>
      </c>
      <c r="F16" s="111" t="str">
        <f>DMP</f>
        <v>Dampfnudel</v>
      </c>
      <c r="G16" s="111"/>
      <c r="H16" s="111"/>
      <c r="I16" s="111"/>
      <c r="J16" s="33" t="s">
        <v>24</v>
      </c>
      <c r="K16" s="111" t="str">
        <f>MUH</f>
        <v>MUH-Bande Jena</v>
      </c>
      <c r="L16" s="111"/>
      <c r="M16" s="69"/>
      <c r="N16" s="31" t="s">
        <v>24</v>
      </c>
      <c r="O16" s="71"/>
      <c r="P16" s="72"/>
      <c r="Q16" s="23" t="s">
        <v>24</v>
      </c>
      <c r="R16" s="75"/>
    </row>
    <row r="17" spans="2:18" s="5" customFormat="1" x14ac:dyDescent="0.25">
      <c r="B17" s="22">
        <f>B16+TIME(0,30,0)</f>
        <v>0.4375</v>
      </c>
      <c r="C17" s="21" t="s">
        <v>10</v>
      </c>
      <c r="D17" s="21" t="str">
        <f>VLOOKUP(F16,$C$7:$F$12,4,FALSE)</f>
        <v>DMP</v>
      </c>
      <c r="E17" s="21" t="str">
        <f>VLOOKUP(K16,$C$7:$F$12,4,FALSE)</f>
        <v>MUH</v>
      </c>
      <c r="F17" s="110" t="str">
        <f>HAW</f>
        <v>Hockey Hawks</v>
      </c>
      <c r="G17" s="110"/>
      <c r="H17" s="110"/>
      <c r="I17" s="110"/>
      <c r="J17" s="20" t="s">
        <v>24</v>
      </c>
      <c r="K17" s="110" t="str">
        <f>ELM</f>
        <v>Einradhockey Elmshorn</v>
      </c>
      <c r="L17" s="110"/>
      <c r="M17" s="70"/>
      <c r="N17" s="21" t="s">
        <v>24</v>
      </c>
      <c r="O17" s="73"/>
      <c r="P17" s="72"/>
      <c r="Q17" s="23" t="s">
        <v>24</v>
      </c>
      <c r="R17" s="75"/>
    </row>
    <row r="18" spans="2:18" s="5" customFormat="1" x14ac:dyDescent="0.25">
      <c r="B18" s="22">
        <f t="shared" ref="B18:B30" si="1">B17+TIME(0,30,0)</f>
        <v>0.45833333333333331</v>
      </c>
      <c r="C18" s="21" t="s">
        <v>11</v>
      </c>
      <c r="D18" s="21" t="str">
        <f t="shared" ref="D18:D30" si="2">VLOOKUP(F17,$C$7:$F$12,4,FALSE)</f>
        <v>HAW</v>
      </c>
      <c r="E18" s="21" t="str">
        <f t="shared" ref="E18:E30" si="3">VLOOKUP(K17,$C$7:$F$12,4,FALSE)</f>
        <v>ELM</v>
      </c>
      <c r="F18" s="110" t="str">
        <f>REI</f>
        <v>BTC Heisse Reifen</v>
      </c>
      <c r="G18" s="110"/>
      <c r="H18" s="110"/>
      <c r="I18" s="110"/>
      <c r="J18" s="20" t="s">
        <v>24</v>
      </c>
      <c r="K18" s="110" t="str">
        <f>FPT</f>
        <v>FunPowerTeam</v>
      </c>
      <c r="L18" s="110"/>
      <c r="M18" s="70"/>
      <c r="N18" s="21" t="s">
        <v>24</v>
      </c>
      <c r="O18" s="73"/>
      <c r="P18" s="72"/>
      <c r="Q18" s="23" t="s">
        <v>24</v>
      </c>
      <c r="R18" s="75"/>
    </row>
    <row r="19" spans="2:18" s="5" customFormat="1" x14ac:dyDescent="0.25">
      <c r="B19" s="22">
        <f t="shared" si="1"/>
        <v>0.47916666666666663</v>
      </c>
      <c r="C19" s="21" t="s">
        <v>12</v>
      </c>
      <c r="D19" s="21" t="str">
        <f t="shared" si="2"/>
        <v>REI</v>
      </c>
      <c r="E19" s="21" t="str">
        <f t="shared" si="3"/>
        <v>FPT</v>
      </c>
      <c r="F19" s="110" t="str">
        <f>HAW</f>
        <v>Hockey Hawks</v>
      </c>
      <c r="G19" s="110"/>
      <c r="H19" s="110"/>
      <c r="I19" s="110"/>
      <c r="J19" s="20" t="s">
        <v>24</v>
      </c>
      <c r="K19" s="110" t="str">
        <f>DMP</f>
        <v>Dampfnudel</v>
      </c>
      <c r="L19" s="110"/>
      <c r="M19" s="70"/>
      <c r="N19" s="21" t="s">
        <v>24</v>
      </c>
      <c r="O19" s="73"/>
      <c r="P19" s="72"/>
      <c r="Q19" s="23" t="s">
        <v>24</v>
      </c>
      <c r="R19" s="75"/>
    </row>
    <row r="20" spans="2:18" s="5" customFormat="1" x14ac:dyDescent="0.25">
      <c r="B20" s="22">
        <f t="shared" si="1"/>
        <v>0.49999999999999994</v>
      </c>
      <c r="C20" s="21" t="s">
        <v>13</v>
      </c>
      <c r="D20" s="21" t="str">
        <f t="shared" si="2"/>
        <v>HAW</v>
      </c>
      <c r="E20" s="21" t="str">
        <f t="shared" si="3"/>
        <v>DMP</v>
      </c>
      <c r="F20" s="110" t="str">
        <f>FPT</f>
        <v>FunPowerTeam</v>
      </c>
      <c r="G20" s="110"/>
      <c r="H20" s="110"/>
      <c r="I20" s="110"/>
      <c r="J20" s="20" t="s">
        <v>24</v>
      </c>
      <c r="K20" s="110" t="str">
        <f>MUH</f>
        <v>MUH-Bande Jena</v>
      </c>
      <c r="L20" s="110"/>
      <c r="M20" s="70"/>
      <c r="N20" s="21" t="s">
        <v>24</v>
      </c>
      <c r="O20" s="73"/>
      <c r="P20" s="72"/>
      <c r="Q20" s="23" t="s">
        <v>24</v>
      </c>
      <c r="R20" s="75"/>
    </row>
    <row r="21" spans="2:18" s="5" customFormat="1" x14ac:dyDescent="0.25">
      <c r="B21" s="22">
        <f t="shared" si="1"/>
        <v>0.52083333333333326</v>
      </c>
      <c r="C21" s="21" t="s">
        <v>14</v>
      </c>
      <c r="D21" s="21" t="str">
        <f t="shared" si="2"/>
        <v>FPT</v>
      </c>
      <c r="E21" s="21" t="str">
        <f t="shared" si="3"/>
        <v>MUH</v>
      </c>
      <c r="F21" s="110" t="str">
        <f>REI</f>
        <v>BTC Heisse Reifen</v>
      </c>
      <c r="G21" s="110"/>
      <c r="H21" s="110"/>
      <c r="I21" s="110"/>
      <c r="J21" s="20" t="s">
        <v>24</v>
      </c>
      <c r="K21" s="110" t="str">
        <f>ELM</f>
        <v>Einradhockey Elmshorn</v>
      </c>
      <c r="L21" s="110"/>
      <c r="M21" s="70"/>
      <c r="N21" s="21" t="s">
        <v>24</v>
      </c>
      <c r="O21" s="73"/>
      <c r="P21" s="72"/>
      <c r="Q21" s="23" t="s">
        <v>24</v>
      </c>
      <c r="R21" s="75"/>
    </row>
    <row r="22" spans="2:18" s="5" customFormat="1" x14ac:dyDescent="0.25">
      <c r="B22" s="22">
        <f t="shared" si="1"/>
        <v>0.54166666666666663</v>
      </c>
      <c r="C22" s="21" t="s">
        <v>15</v>
      </c>
      <c r="D22" s="21" t="str">
        <f t="shared" si="2"/>
        <v>REI</v>
      </c>
      <c r="E22" s="21" t="str">
        <f t="shared" si="3"/>
        <v>ELM</v>
      </c>
      <c r="F22" s="110" t="str">
        <f>HAW</f>
        <v>Hockey Hawks</v>
      </c>
      <c r="G22" s="110"/>
      <c r="H22" s="110"/>
      <c r="I22" s="110"/>
      <c r="J22" s="20" t="s">
        <v>24</v>
      </c>
      <c r="K22" s="110" t="str">
        <f>FPT</f>
        <v>FunPowerTeam</v>
      </c>
      <c r="L22" s="110"/>
      <c r="M22" s="70"/>
      <c r="N22" s="21" t="s">
        <v>24</v>
      </c>
      <c r="O22" s="73"/>
      <c r="P22" s="72"/>
      <c r="Q22" s="23" t="s">
        <v>24</v>
      </c>
      <c r="R22" s="75"/>
    </row>
    <row r="23" spans="2:18" s="5" customFormat="1" x14ac:dyDescent="0.25">
      <c r="B23" s="22">
        <f t="shared" si="1"/>
        <v>0.5625</v>
      </c>
      <c r="C23" s="21" t="s">
        <v>16</v>
      </c>
      <c r="D23" s="21" t="str">
        <f t="shared" si="2"/>
        <v>HAW</v>
      </c>
      <c r="E23" s="21" t="str">
        <f t="shared" si="3"/>
        <v>FPT</v>
      </c>
      <c r="F23" s="110" t="str">
        <f>DMP</f>
        <v>Dampfnudel</v>
      </c>
      <c r="G23" s="110"/>
      <c r="H23" s="110"/>
      <c r="I23" s="110"/>
      <c r="J23" s="20" t="s">
        <v>24</v>
      </c>
      <c r="K23" s="110" t="str">
        <f>ELM</f>
        <v>Einradhockey Elmshorn</v>
      </c>
      <c r="L23" s="110"/>
      <c r="M23" s="70"/>
      <c r="N23" s="21" t="s">
        <v>24</v>
      </c>
      <c r="O23" s="73"/>
      <c r="P23" s="72"/>
      <c r="Q23" s="23" t="s">
        <v>24</v>
      </c>
      <c r="R23" s="75"/>
    </row>
    <row r="24" spans="2:18" s="5" customFormat="1" x14ac:dyDescent="0.25">
      <c r="B24" s="22">
        <f t="shared" si="1"/>
        <v>0.58333333333333337</v>
      </c>
      <c r="C24" s="21" t="s">
        <v>17</v>
      </c>
      <c r="D24" s="21" t="str">
        <f t="shared" si="2"/>
        <v>DMP</v>
      </c>
      <c r="E24" s="21" t="str">
        <f t="shared" si="3"/>
        <v>ELM</v>
      </c>
      <c r="F24" s="110" t="str">
        <f>REI</f>
        <v>BTC Heisse Reifen</v>
      </c>
      <c r="G24" s="110"/>
      <c r="H24" s="110"/>
      <c r="I24" s="110"/>
      <c r="J24" s="20" t="s">
        <v>24</v>
      </c>
      <c r="K24" s="110" t="str">
        <f>MUH</f>
        <v>MUH-Bande Jena</v>
      </c>
      <c r="L24" s="110"/>
      <c r="M24" s="70"/>
      <c r="N24" s="21" t="s">
        <v>24</v>
      </c>
      <c r="O24" s="73"/>
      <c r="P24" s="72"/>
      <c r="Q24" s="23" t="s">
        <v>24</v>
      </c>
      <c r="R24" s="75"/>
    </row>
    <row r="25" spans="2:18" s="5" customFormat="1" x14ac:dyDescent="0.25">
      <c r="B25" s="22">
        <f t="shared" si="1"/>
        <v>0.60416666666666674</v>
      </c>
      <c r="C25" s="21" t="s">
        <v>18</v>
      </c>
      <c r="D25" s="21" t="str">
        <f t="shared" si="2"/>
        <v>REI</v>
      </c>
      <c r="E25" s="21" t="str">
        <f t="shared" si="3"/>
        <v>MUH</v>
      </c>
      <c r="F25" s="110" t="str">
        <f>FPT</f>
        <v>FunPowerTeam</v>
      </c>
      <c r="G25" s="110"/>
      <c r="H25" s="110"/>
      <c r="I25" s="110"/>
      <c r="J25" s="20" t="s">
        <v>24</v>
      </c>
      <c r="K25" s="110" t="str">
        <f>ELM</f>
        <v>Einradhockey Elmshorn</v>
      </c>
      <c r="L25" s="110"/>
      <c r="M25" s="70"/>
      <c r="N25" s="21" t="s">
        <v>24</v>
      </c>
      <c r="O25" s="73"/>
      <c r="P25" s="72"/>
      <c r="Q25" s="23" t="s">
        <v>24</v>
      </c>
      <c r="R25" s="75"/>
    </row>
    <row r="26" spans="2:18" s="5" customFormat="1" x14ac:dyDescent="0.25">
      <c r="B26" s="22">
        <f t="shared" si="1"/>
        <v>0.62500000000000011</v>
      </c>
      <c r="C26" s="21" t="s">
        <v>19</v>
      </c>
      <c r="D26" s="21" t="str">
        <f t="shared" si="2"/>
        <v>FPT</v>
      </c>
      <c r="E26" s="21" t="str">
        <f t="shared" si="3"/>
        <v>ELM</v>
      </c>
      <c r="F26" s="110" t="str">
        <f>HAW</f>
        <v>Hockey Hawks</v>
      </c>
      <c r="G26" s="110"/>
      <c r="H26" s="110"/>
      <c r="I26" s="110"/>
      <c r="J26" s="20" t="s">
        <v>24</v>
      </c>
      <c r="K26" s="110" t="str">
        <f>MUH</f>
        <v>MUH-Bande Jena</v>
      </c>
      <c r="L26" s="110"/>
      <c r="M26" s="70"/>
      <c r="N26" s="21" t="s">
        <v>24</v>
      </c>
      <c r="O26" s="73"/>
      <c r="P26" s="72"/>
      <c r="Q26" s="23" t="s">
        <v>24</v>
      </c>
      <c r="R26" s="75"/>
    </row>
    <row r="27" spans="2:18" s="5" customFormat="1" x14ac:dyDescent="0.25">
      <c r="B27" s="22">
        <f t="shared" si="1"/>
        <v>0.64583333333333348</v>
      </c>
      <c r="C27" s="21" t="s">
        <v>20</v>
      </c>
      <c r="D27" s="21" t="str">
        <f t="shared" si="2"/>
        <v>HAW</v>
      </c>
      <c r="E27" s="21" t="str">
        <f t="shared" si="3"/>
        <v>MUH</v>
      </c>
      <c r="F27" s="110" t="str">
        <f>REI</f>
        <v>BTC Heisse Reifen</v>
      </c>
      <c r="G27" s="110"/>
      <c r="H27" s="110"/>
      <c r="I27" s="110"/>
      <c r="J27" s="20" t="s">
        <v>24</v>
      </c>
      <c r="K27" s="110" t="str">
        <f>DMP</f>
        <v>Dampfnudel</v>
      </c>
      <c r="L27" s="110"/>
      <c r="M27" s="70"/>
      <c r="N27" s="21" t="s">
        <v>24</v>
      </c>
      <c r="O27" s="73"/>
      <c r="P27" s="72"/>
      <c r="Q27" s="23" t="s">
        <v>24</v>
      </c>
      <c r="R27" s="75"/>
    </row>
    <row r="28" spans="2:18" s="5" customFormat="1" x14ac:dyDescent="0.25">
      <c r="B28" s="22">
        <f t="shared" si="1"/>
        <v>0.66666666666666685</v>
      </c>
      <c r="C28" s="21" t="s">
        <v>21</v>
      </c>
      <c r="D28" s="21" t="str">
        <f t="shared" si="2"/>
        <v>REI</v>
      </c>
      <c r="E28" s="21" t="str">
        <f t="shared" si="3"/>
        <v>DMP</v>
      </c>
      <c r="F28" s="110" t="str">
        <f>ELM</f>
        <v>Einradhockey Elmshorn</v>
      </c>
      <c r="G28" s="110"/>
      <c r="H28" s="110"/>
      <c r="I28" s="110"/>
      <c r="J28" s="20" t="s">
        <v>24</v>
      </c>
      <c r="K28" s="110" t="str">
        <f>MUH</f>
        <v>MUH-Bande Jena</v>
      </c>
      <c r="L28" s="110"/>
      <c r="M28" s="70"/>
      <c r="N28" s="21" t="s">
        <v>24</v>
      </c>
      <c r="O28" s="73"/>
      <c r="P28" s="72"/>
      <c r="Q28" s="23" t="s">
        <v>24</v>
      </c>
      <c r="R28" s="75"/>
    </row>
    <row r="29" spans="2:18" s="5" customFormat="1" x14ac:dyDescent="0.25">
      <c r="B29" s="22">
        <f t="shared" si="1"/>
        <v>0.68750000000000022</v>
      </c>
      <c r="C29" s="21" t="s">
        <v>22</v>
      </c>
      <c r="D29" s="21" t="str">
        <f t="shared" si="2"/>
        <v>ELM</v>
      </c>
      <c r="E29" s="21" t="str">
        <f t="shared" si="3"/>
        <v>MUH</v>
      </c>
      <c r="F29" s="110" t="str">
        <f>DMP</f>
        <v>Dampfnudel</v>
      </c>
      <c r="G29" s="110"/>
      <c r="H29" s="110"/>
      <c r="I29" s="110"/>
      <c r="J29" s="20" t="s">
        <v>24</v>
      </c>
      <c r="K29" s="110" t="str">
        <f>FPT</f>
        <v>FunPowerTeam</v>
      </c>
      <c r="L29" s="110"/>
      <c r="M29" s="70"/>
      <c r="N29" s="21" t="s">
        <v>24</v>
      </c>
      <c r="O29" s="73"/>
      <c r="P29" s="72"/>
      <c r="Q29" s="23" t="s">
        <v>24</v>
      </c>
      <c r="R29" s="75"/>
    </row>
    <row r="30" spans="2:18" s="5" customFormat="1" x14ac:dyDescent="0.25">
      <c r="B30" s="22">
        <f t="shared" si="1"/>
        <v>0.70833333333333359</v>
      </c>
      <c r="C30" s="21" t="s">
        <v>23</v>
      </c>
      <c r="D30" s="21" t="str">
        <f t="shared" si="2"/>
        <v>DMP</v>
      </c>
      <c r="E30" s="21" t="str">
        <f t="shared" si="3"/>
        <v>FPT</v>
      </c>
      <c r="F30" s="110" t="str">
        <f>REI</f>
        <v>BTC Heisse Reifen</v>
      </c>
      <c r="G30" s="110"/>
      <c r="H30" s="110"/>
      <c r="I30" s="110"/>
      <c r="J30" s="20" t="s">
        <v>24</v>
      </c>
      <c r="K30" s="110" t="str">
        <f>HAW</f>
        <v>Hockey Hawks</v>
      </c>
      <c r="L30" s="110"/>
      <c r="M30" s="70"/>
      <c r="N30" s="21" t="s">
        <v>24</v>
      </c>
      <c r="O30" s="73"/>
      <c r="P30" s="74"/>
      <c r="Q30" s="35" t="s">
        <v>24</v>
      </c>
      <c r="R30" s="76"/>
    </row>
    <row r="32" spans="2:18" x14ac:dyDescent="0.25">
      <c r="B32" s="16" t="s">
        <v>74</v>
      </c>
      <c r="C32" s="14"/>
      <c r="D32" s="14"/>
      <c r="E32" s="14"/>
      <c r="F32" s="14"/>
      <c r="G32" s="14"/>
      <c r="H32" s="14"/>
      <c r="I32" s="14"/>
      <c r="J32" s="14"/>
      <c r="K32" s="15"/>
    </row>
    <row r="33" spans="2:21" s="5" customFormat="1" x14ac:dyDescent="0.25">
      <c r="B33" s="25" t="s">
        <v>59</v>
      </c>
      <c r="C33" s="26" t="s">
        <v>33</v>
      </c>
      <c r="D33" s="27"/>
      <c r="E33" s="27"/>
      <c r="F33" s="24" t="s">
        <v>58</v>
      </c>
      <c r="G33" s="24" t="s">
        <v>53</v>
      </c>
      <c r="H33" s="24" t="s">
        <v>54</v>
      </c>
      <c r="I33" s="24" t="s">
        <v>55</v>
      </c>
      <c r="J33" s="112" t="s">
        <v>56</v>
      </c>
      <c r="K33" s="113"/>
    </row>
    <row r="34" spans="2:21" s="5" customFormat="1" x14ac:dyDescent="0.25">
      <c r="B34" s="28">
        <v>1</v>
      </c>
      <c r="C34" s="114" t="str">
        <f>VLOOKUP($B34,Tippspiel_Rechner!$W$6:$AD$12,3,FALSE)</f>
        <v>BTC Heisse Reifen</v>
      </c>
      <c r="D34" s="114"/>
      <c r="E34" s="114"/>
      <c r="F34" s="29">
        <f>VLOOKUP($B34,Tippspiel_Rechner!$W$6:$AD$12,4,FALSE)</f>
        <v>0</v>
      </c>
      <c r="G34" s="29">
        <f>VLOOKUP($B34,Tippspiel_Rechner!$W$6:$AD$12,5,FALSE)</f>
        <v>0</v>
      </c>
      <c r="H34" s="29">
        <f>VLOOKUP($B34,Tippspiel_Rechner!$W$6:$AD$12,6,FALSE)</f>
        <v>0</v>
      </c>
      <c r="I34" s="29">
        <f>VLOOKUP($B34,Tippspiel_Rechner!$W$6:$AD$12,7,FALSE)</f>
        <v>0</v>
      </c>
      <c r="J34" s="115">
        <f>VLOOKUP($B34,Tippspiel_Rechner!$W$6:$AD$12,8,FALSE)</f>
        <v>0</v>
      </c>
      <c r="K34" s="116" t="e">
        <f>VLOOKUP($C34,Rechner!$Y$6:$AD$12,COLUMN()-4,FALSE)</f>
        <v>#REF!</v>
      </c>
    </row>
    <row r="35" spans="2:21" s="5" customFormat="1" x14ac:dyDescent="0.25">
      <c r="B35" s="28">
        <v>2</v>
      </c>
      <c r="C35" s="114" t="str">
        <f>VLOOKUP($B35,Tippspiel_Rechner!$W$6:$AD$12,3,FALSE)</f>
        <v>Hockey Hawks</v>
      </c>
      <c r="D35" s="114"/>
      <c r="E35" s="114"/>
      <c r="F35" s="29">
        <f>VLOOKUP($B35,Tippspiel_Rechner!$W$6:$AD$12,4,FALSE)</f>
        <v>0</v>
      </c>
      <c r="G35" s="29">
        <f>VLOOKUP($B35,Tippspiel_Rechner!$W$6:$AD$12,5,FALSE)</f>
        <v>0</v>
      </c>
      <c r="H35" s="29">
        <f>VLOOKUP($B35,Tippspiel_Rechner!$W$6:$AD$12,6,FALSE)</f>
        <v>0</v>
      </c>
      <c r="I35" s="29">
        <f>VLOOKUP($B35,Tippspiel_Rechner!$W$6:$AD$12,7,FALSE)</f>
        <v>0</v>
      </c>
      <c r="J35" s="115">
        <f>VLOOKUP($B35,Tippspiel_Rechner!$W$6:$AD$12,8,FALSE)</f>
        <v>0</v>
      </c>
      <c r="K35" s="116" t="e">
        <f>VLOOKUP($C35,Rechner!$Y$6:$AD$12,COLUMN()-4,FALSE)</f>
        <v>#REF!</v>
      </c>
    </row>
    <row r="36" spans="2:21" s="5" customFormat="1" x14ac:dyDescent="0.25">
      <c r="B36" s="28">
        <v>3</v>
      </c>
      <c r="C36" s="114" t="str">
        <f>VLOOKUP($B36,Tippspiel_Rechner!$W$6:$AD$12,3,FALSE)</f>
        <v>Dampfnudel</v>
      </c>
      <c r="D36" s="114"/>
      <c r="E36" s="114"/>
      <c r="F36" s="29">
        <f>VLOOKUP($B36,Tippspiel_Rechner!$W$6:$AD$12,4,FALSE)</f>
        <v>0</v>
      </c>
      <c r="G36" s="29">
        <f>VLOOKUP($B36,Tippspiel_Rechner!$W$6:$AD$12,5,FALSE)</f>
        <v>0</v>
      </c>
      <c r="H36" s="29">
        <f>VLOOKUP($B36,Tippspiel_Rechner!$W$6:$AD$12,6,FALSE)</f>
        <v>0</v>
      </c>
      <c r="I36" s="29">
        <f>VLOOKUP($B36,Tippspiel_Rechner!$W$6:$AD$12,7,FALSE)</f>
        <v>0</v>
      </c>
      <c r="J36" s="115">
        <f>VLOOKUP($B36,Tippspiel_Rechner!$W$6:$AD$12,8,FALSE)</f>
        <v>0</v>
      </c>
      <c r="K36" s="116" t="e">
        <f>VLOOKUP($C36,Rechner!$Y$6:$AD$12,COLUMN()-4,FALSE)</f>
        <v>#REF!</v>
      </c>
    </row>
    <row r="37" spans="2:21" s="5" customFormat="1" x14ac:dyDescent="0.25">
      <c r="B37" s="28">
        <v>4</v>
      </c>
      <c r="C37" s="114" t="str">
        <f>VLOOKUP($B37,Tippspiel_Rechner!$W$6:$AD$12,3,FALSE)</f>
        <v>FunPowerTeam</v>
      </c>
      <c r="D37" s="114"/>
      <c r="E37" s="114"/>
      <c r="F37" s="29">
        <f>VLOOKUP($B37,Tippspiel_Rechner!$W$6:$AD$12,4,FALSE)</f>
        <v>0</v>
      </c>
      <c r="G37" s="29">
        <f>VLOOKUP($B37,Tippspiel_Rechner!$W$6:$AD$12,5,FALSE)</f>
        <v>0</v>
      </c>
      <c r="H37" s="29">
        <f>VLOOKUP($B37,Tippspiel_Rechner!$W$6:$AD$12,6,FALSE)</f>
        <v>0</v>
      </c>
      <c r="I37" s="29">
        <f>VLOOKUP($B37,Tippspiel_Rechner!$W$6:$AD$12,7,FALSE)</f>
        <v>0</v>
      </c>
      <c r="J37" s="115">
        <f>VLOOKUP($B37,Tippspiel_Rechner!$W$6:$AD$12,8,FALSE)</f>
        <v>0</v>
      </c>
      <c r="K37" s="116" t="e">
        <f>VLOOKUP($C37,Rechner!$Y$6:$AD$12,COLUMN()-4,FALSE)</f>
        <v>#REF!</v>
      </c>
    </row>
    <row r="38" spans="2:21" s="5" customFormat="1" x14ac:dyDescent="0.25">
      <c r="B38" s="28">
        <v>5</v>
      </c>
      <c r="C38" s="114" t="str">
        <f>VLOOKUP($B38,Tippspiel_Rechner!$W$6:$AD$12,3,FALSE)</f>
        <v>Einradhockey Elmshorn</v>
      </c>
      <c r="D38" s="114"/>
      <c r="E38" s="114"/>
      <c r="F38" s="29">
        <f>VLOOKUP($B38,Tippspiel_Rechner!$W$6:$AD$12,4,FALSE)</f>
        <v>0</v>
      </c>
      <c r="G38" s="29">
        <f>VLOOKUP($B38,Tippspiel_Rechner!$W$6:$AD$12,5,FALSE)</f>
        <v>0</v>
      </c>
      <c r="H38" s="29">
        <f>VLOOKUP($B38,Tippspiel_Rechner!$W$6:$AD$12,6,FALSE)</f>
        <v>0</v>
      </c>
      <c r="I38" s="29">
        <f>VLOOKUP($B38,Tippspiel_Rechner!$W$6:$AD$12,7,FALSE)</f>
        <v>0</v>
      </c>
      <c r="J38" s="115">
        <f>VLOOKUP($B38,Tippspiel_Rechner!$W$6:$AD$12,8,FALSE)</f>
        <v>0</v>
      </c>
      <c r="K38" s="116" t="e">
        <f>VLOOKUP($C38,Rechner!$Y$6:$AD$12,COLUMN()-4,FALSE)</f>
        <v>#REF!</v>
      </c>
    </row>
    <row r="39" spans="2:21" s="5" customFormat="1" x14ac:dyDescent="0.25">
      <c r="B39" s="28">
        <v>6</v>
      </c>
      <c r="C39" s="114" t="str">
        <f>VLOOKUP($B39,Tippspiel_Rechner!$W$6:$AD$12,3,FALSE)</f>
        <v>MUH-Bande Jena</v>
      </c>
      <c r="D39" s="114"/>
      <c r="E39" s="114"/>
      <c r="F39" s="29">
        <f>VLOOKUP($B39,Tippspiel_Rechner!$W$6:$AD$12,4,FALSE)</f>
        <v>0</v>
      </c>
      <c r="G39" s="29">
        <f>VLOOKUP($B39,Tippspiel_Rechner!$W$6:$AD$12,5,FALSE)</f>
        <v>0</v>
      </c>
      <c r="H39" s="29">
        <f>VLOOKUP($B39,Tippspiel_Rechner!$W$6:$AD$12,6,FALSE)</f>
        <v>0</v>
      </c>
      <c r="I39" s="29">
        <f>VLOOKUP($B39,Tippspiel_Rechner!$W$6:$AD$12,7,FALSE)</f>
        <v>0</v>
      </c>
      <c r="J39" s="115">
        <f>VLOOKUP($B39,Tippspiel_Rechner!$W$6:$AD$12,8,FALSE)</f>
        <v>0</v>
      </c>
      <c r="K39" s="116" t="e">
        <f>VLOOKUP($C39,Rechner!$Y$6:$AD$12,COLUMN()-4,FALSE)</f>
        <v>#REF!</v>
      </c>
    </row>
    <row r="40" spans="2:21" x14ac:dyDescent="0.25">
      <c r="B40" s="4" t="b">
        <f>Tippspiel_Rechner!$Y$12</f>
        <v>0</v>
      </c>
      <c r="C40" s="6" t="str">
        <f>IF(B40,"Es liegen mindestens ein direkter Vergleich vor. Bitte löse diese mit Hilfe der Dropdowns.","")</f>
        <v/>
      </c>
    </row>
    <row r="41" spans="2:21" x14ac:dyDescent="0.25">
      <c r="B41" s="4"/>
      <c r="C41" s="6"/>
    </row>
    <row r="42" spans="2:21" ht="18.75" customHeight="1" x14ac:dyDescent="0.25">
      <c r="B42" s="104" t="s">
        <v>75</v>
      </c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6"/>
    </row>
    <row r="44" spans="2:21" x14ac:dyDescent="0.25">
      <c r="B44" s="13" t="s">
        <v>75</v>
      </c>
      <c r="C44" s="7"/>
      <c r="D44" s="7"/>
      <c r="E44" s="7"/>
      <c r="F44" s="8"/>
    </row>
    <row r="45" spans="2:21" x14ac:dyDescent="0.25">
      <c r="B45" s="11" t="s">
        <v>82</v>
      </c>
      <c r="C45" s="107" t="s">
        <v>76</v>
      </c>
      <c r="D45" s="107"/>
      <c r="E45" s="107"/>
      <c r="F45" s="12" t="str">
        <f t="shared" ref="F45:F50" si="4">B45</f>
        <v>ONE</v>
      </c>
    </row>
    <row r="46" spans="2:21" x14ac:dyDescent="0.25">
      <c r="B46" s="9" t="s">
        <v>83</v>
      </c>
      <c r="C46" s="100" t="s">
        <v>77</v>
      </c>
      <c r="D46" s="100"/>
      <c r="E46" s="100"/>
      <c r="F46" s="10" t="str">
        <f t="shared" si="4"/>
        <v>QRR</v>
      </c>
    </row>
    <row r="47" spans="2:21" x14ac:dyDescent="0.25">
      <c r="B47" s="9" t="s">
        <v>84</v>
      </c>
      <c r="C47" s="100" t="s">
        <v>78</v>
      </c>
      <c r="D47" s="100"/>
      <c r="E47" s="100"/>
      <c r="F47" s="10" t="str">
        <f t="shared" si="4"/>
        <v>LEG</v>
      </c>
    </row>
    <row r="48" spans="2:21" x14ac:dyDescent="0.25">
      <c r="B48" s="9" t="s">
        <v>85</v>
      </c>
      <c r="C48" s="100" t="s">
        <v>79</v>
      </c>
      <c r="D48" s="100"/>
      <c r="E48" s="100"/>
      <c r="F48" s="10" t="str">
        <f t="shared" si="4"/>
        <v>UTH</v>
      </c>
    </row>
    <row r="49" spans="2:21" x14ac:dyDescent="0.25">
      <c r="B49" s="9" t="s">
        <v>86</v>
      </c>
      <c r="C49" s="100" t="s">
        <v>80</v>
      </c>
      <c r="D49" s="100"/>
      <c r="E49" s="100"/>
      <c r="F49" s="10" t="str">
        <f t="shared" si="4"/>
        <v>TRV</v>
      </c>
    </row>
    <row r="50" spans="2:21" x14ac:dyDescent="0.25">
      <c r="B50" s="9" t="s">
        <v>87</v>
      </c>
      <c r="C50" s="100" t="s">
        <v>81</v>
      </c>
      <c r="D50" s="100"/>
      <c r="E50" s="100"/>
      <c r="F50" s="10" t="str">
        <f t="shared" si="4"/>
        <v>GST</v>
      </c>
    </row>
    <row r="52" spans="2:21" x14ac:dyDescent="0.25">
      <c r="B52" s="16" t="s">
        <v>73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96" t="s">
        <v>3</v>
      </c>
      <c r="N52" s="96"/>
      <c r="O52" s="96"/>
      <c r="P52" s="96" t="s">
        <v>50</v>
      </c>
      <c r="Q52" s="96"/>
      <c r="R52" s="97"/>
    </row>
    <row r="53" spans="2:21" x14ac:dyDescent="0.25">
      <c r="B53" s="17" t="s">
        <v>4</v>
      </c>
      <c r="C53" s="18" t="s">
        <v>5</v>
      </c>
      <c r="D53" s="108" t="s">
        <v>6</v>
      </c>
      <c r="E53" s="108"/>
      <c r="F53" s="109" t="s">
        <v>7</v>
      </c>
      <c r="G53" s="109"/>
      <c r="H53" s="109"/>
      <c r="I53" s="109"/>
      <c r="J53" s="19"/>
      <c r="K53" s="19" t="s">
        <v>8</v>
      </c>
      <c r="L53" s="19"/>
      <c r="M53" s="98"/>
      <c r="N53" s="98"/>
      <c r="O53" s="98"/>
      <c r="P53" s="98" t="s">
        <v>50</v>
      </c>
      <c r="Q53" s="98"/>
      <c r="R53" s="99"/>
      <c r="S53" s="5"/>
      <c r="T53" s="5"/>
      <c r="U53" s="5"/>
    </row>
    <row r="54" spans="2:21" x14ac:dyDescent="0.25">
      <c r="B54" s="32">
        <v>0.41666666666666669</v>
      </c>
      <c r="C54" s="31" t="s">
        <v>89</v>
      </c>
      <c r="D54" s="31" t="str">
        <f>VLOOKUP(F68,$C$45:$F$50,4,FALSE)</f>
        <v>ONE</v>
      </c>
      <c r="E54" s="31" t="str">
        <f>VLOOKUP(K68,$C$45:$F$50,4,FALSE)</f>
        <v>QRR</v>
      </c>
      <c r="F54" s="111" t="str">
        <f>LEG</f>
        <v>MJC Trier - Die Legionäre</v>
      </c>
      <c r="G54" s="111"/>
      <c r="H54" s="111"/>
      <c r="I54" s="111"/>
      <c r="J54" s="31" t="s">
        <v>24</v>
      </c>
      <c r="K54" s="111" t="str">
        <f>GST</f>
        <v>Geisterfahrer</v>
      </c>
      <c r="L54" s="111"/>
      <c r="M54" s="69"/>
      <c r="N54" s="31" t="s">
        <v>24</v>
      </c>
      <c r="O54" s="71"/>
      <c r="P54" s="72"/>
      <c r="Q54" s="23" t="s">
        <v>24</v>
      </c>
      <c r="R54" s="75"/>
      <c r="S54" s="5"/>
      <c r="T54" s="5"/>
      <c r="U54" s="5"/>
    </row>
    <row r="55" spans="2:21" x14ac:dyDescent="0.25">
      <c r="B55" s="22">
        <f>B54+TIME(0,30,0)</f>
        <v>0.4375</v>
      </c>
      <c r="C55" s="21" t="s">
        <v>90</v>
      </c>
      <c r="D55" s="21" t="str">
        <f t="shared" ref="D55:D68" si="5">VLOOKUP(F54,$C$45:$F$50,4,FALSE)</f>
        <v>LEG</v>
      </c>
      <c r="E55" s="21" t="str">
        <f t="shared" ref="E55:E68" si="6">VLOOKUP(K54,$C$45:$F$50,4,FALSE)</f>
        <v>GST</v>
      </c>
      <c r="F55" s="110" t="str">
        <f>QRR</f>
        <v>Querrad</v>
      </c>
      <c r="G55" s="110"/>
      <c r="H55" s="110"/>
      <c r="I55" s="110"/>
      <c r="J55" s="21" t="s">
        <v>24</v>
      </c>
      <c r="K55" s="110" t="str">
        <f>TRV</f>
        <v>MJC Trier - Die Treverer</v>
      </c>
      <c r="L55" s="110"/>
      <c r="M55" s="70"/>
      <c r="N55" s="21" t="s">
        <v>24</v>
      </c>
      <c r="O55" s="73"/>
      <c r="P55" s="72"/>
      <c r="Q55" s="23" t="s">
        <v>24</v>
      </c>
      <c r="R55" s="75"/>
      <c r="S55" s="5"/>
      <c r="T55" s="5"/>
      <c r="U55" s="5"/>
    </row>
    <row r="56" spans="2:21" x14ac:dyDescent="0.25">
      <c r="B56" s="22">
        <f t="shared" ref="B56:B68" si="7">B55+TIME(0,30,0)</f>
        <v>0.45833333333333331</v>
      </c>
      <c r="C56" s="31" t="s">
        <v>91</v>
      </c>
      <c r="D56" s="21" t="str">
        <f t="shared" si="5"/>
        <v>QRR</v>
      </c>
      <c r="E56" s="21" t="str">
        <f t="shared" si="6"/>
        <v>TRV</v>
      </c>
      <c r="F56" s="110" t="str">
        <f>ONE</f>
        <v>OnewheeleRS</v>
      </c>
      <c r="G56" s="110"/>
      <c r="H56" s="110"/>
      <c r="I56" s="110"/>
      <c r="J56" s="21" t="s">
        <v>24</v>
      </c>
      <c r="K56" s="110" t="str">
        <f>UTH</f>
        <v>SKV Mörfelden UniThunder</v>
      </c>
      <c r="L56" s="110"/>
      <c r="M56" s="70"/>
      <c r="N56" s="21" t="s">
        <v>24</v>
      </c>
      <c r="O56" s="73"/>
      <c r="P56" s="72"/>
      <c r="Q56" s="23" t="s">
        <v>24</v>
      </c>
      <c r="R56" s="75"/>
      <c r="S56" s="5"/>
      <c r="T56" s="5"/>
      <c r="U56" s="5"/>
    </row>
    <row r="57" spans="2:21" x14ac:dyDescent="0.25">
      <c r="B57" s="22">
        <f t="shared" si="7"/>
        <v>0.47916666666666663</v>
      </c>
      <c r="C57" s="21" t="s">
        <v>92</v>
      </c>
      <c r="D57" s="21" t="str">
        <f t="shared" si="5"/>
        <v>ONE</v>
      </c>
      <c r="E57" s="21" t="str">
        <f t="shared" si="6"/>
        <v>UTH</v>
      </c>
      <c r="F57" s="110" t="str">
        <f>QRR</f>
        <v>Querrad</v>
      </c>
      <c r="G57" s="110"/>
      <c r="H57" s="110"/>
      <c r="I57" s="110"/>
      <c r="J57" s="21" t="s">
        <v>24</v>
      </c>
      <c r="K57" s="110" t="str">
        <f>LEG</f>
        <v>MJC Trier - Die Legionäre</v>
      </c>
      <c r="L57" s="110"/>
      <c r="M57" s="70"/>
      <c r="N57" s="21" t="s">
        <v>24</v>
      </c>
      <c r="O57" s="73"/>
      <c r="P57" s="72"/>
      <c r="Q57" s="23" t="s">
        <v>24</v>
      </c>
      <c r="R57" s="75"/>
      <c r="S57" s="5"/>
      <c r="T57" s="5"/>
      <c r="U57" s="5"/>
    </row>
    <row r="58" spans="2:21" x14ac:dyDescent="0.25">
      <c r="B58" s="22">
        <f t="shared" si="7"/>
        <v>0.49999999999999994</v>
      </c>
      <c r="C58" s="31" t="s">
        <v>93</v>
      </c>
      <c r="D58" s="21" t="str">
        <f t="shared" si="5"/>
        <v>QRR</v>
      </c>
      <c r="E58" s="21" t="str">
        <f t="shared" si="6"/>
        <v>LEG</v>
      </c>
      <c r="F58" s="110" t="str">
        <f>UTH</f>
        <v>SKV Mörfelden UniThunder</v>
      </c>
      <c r="G58" s="110"/>
      <c r="H58" s="110"/>
      <c r="I58" s="110"/>
      <c r="J58" s="21" t="s">
        <v>24</v>
      </c>
      <c r="K58" s="110" t="str">
        <f>GST</f>
        <v>Geisterfahrer</v>
      </c>
      <c r="L58" s="110"/>
      <c r="M58" s="70"/>
      <c r="N58" s="21" t="s">
        <v>24</v>
      </c>
      <c r="O58" s="73"/>
      <c r="P58" s="72"/>
      <c r="Q58" s="23" t="s">
        <v>24</v>
      </c>
      <c r="R58" s="75"/>
      <c r="S58" s="5"/>
      <c r="T58" s="5"/>
      <c r="U58" s="5"/>
    </row>
    <row r="59" spans="2:21" x14ac:dyDescent="0.25">
      <c r="B59" s="22">
        <f t="shared" si="7"/>
        <v>0.52083333333333326</v>
      </c>
      <c r="C59" s="21" t="s">
        <v>94</v>
      </c>
      <c r="D59" s="21" t="str">
        <f t="shared" si="5"/>
        <v>UTH</v>
      </c>
      <c r="E59" s="21" t="str">
        <f t="shared" si="6"/>
        <v>GST</v>
      </c>
      <c r="F59" s="110" t="str">
        <f>ONE</f>
        <v>OnewheeleRS</v>
      </c>
      <c r="G59" s="110"/>
      <c r="H59" s="110"/>
      <c r="I59" s="110"/>
      <c r="J59" s="21" t="s">
        <v>24</v>
      </c>
      <c r="K59" s="110" t="str">
        <f>TRV</f>
        <v>MJC Trier - Die Treverer</v>
      </c>
      <c r="L59" s="110"/>
      <c r="M59" s="70"/>
      <c r="N59" s="21" t="s">
        <v>24</v>
      </c>
      <c r="O59" s="73"/>
      <c r="P59" s="72"/>
      <c r="Q59" s="23" t="s">
        <v>24</v>
      </c>
      <c r="R59" s="75"/>
      <c r="S59" s="5"/>
      <c r="T59" s="5"/>
      <c r="U59" s="5"/>
    </row>
    <row r="60" spans="2:21" x14ac:dyDescent="0.25">
      <c r="B60" s="22">
        <f t="shared" si="7"/>
        <v>0.54166666666666663</v>
      </c>
      <c r="C60" s="31" t="s">
        <v>95</v>
      </c>
      <c r="D60" s="21" t="str">
        <f t="shared" si="5"/>
        <v>ONE</v>
      </c>
      <c r="E60" s="21" t="str">
        <f t="shared" si="6"/>
        <v>TRV</v>
      </c>
      <c r="F60" s="110" t="str">
        <f>QRR</f>
        <v>Querrad</v>
      </c>
      <c r="G60" s="110"/>
      <c r="H60" s="110"/>
      <c r="I60" s="110"/>
      <c r="J60" s="21" t="s">
        <v>24</v>
      </c>
      <c r="K60" s="110" t="str">
        <f>UTH</f>
        <v>SKV Mörfelden UniThunder</v>
      </c>
      <c r="L60" s="110"/>
      <c r="M60" s="70"/>
      <c r="N60" s="21" t="s">
        <v>24</v>
      </c>
      <c r="O60" s="73"/>
      <c r="P60" s="72"/>
      <c r="Q60" s="23" t="s">
        <v>24</v>
      </c>
      <c r="R60" s="75"/>
      <c r="S60" s="5"/>
      <c r="T60" s="5"/>
      <c r="U60" s="5"/>
    </row>
    <row r="61" spans="2:21" x14ac:dyDescent="0.25">
      <c r="B61" s="22">
        <f t="shared" si="7"/>
        <v>0.5625</v>
      </c>
      <c r="C61" s="21" t="s">
        <v>96</v>
      </c>
      <c r="D61" s="21" t="str">
        <f t="shared" si="5"/>
        <v>QRR</v>
      </c>
      <c r="E61" s="21" t="str">
        <f t="shared" si="6"/>
        <v>UTH</v>
      </c>
      <c r="F61" s="110" t="str">
        <f>LEG</f>
        <v>MJC Trier - Die Legionäre</v>
      </c>
      <c r="G61" s="110"/>
      <c r="H61" s="110"/>
      <c r="I61" s="110"/>
      <c r="J61" s="21" t="s">
        <v>24</v>
      </c>
      <c r="K61" s="110" t="str">
        <f>TRV</f>
        <v>MJC Trier - Die Treverer</v>
      </c>
      <c r="L61" s="110"/>
      <c r="M61" s="70"/>
      <c r="N61" s="21" t="s">
        <v>24</v>
      </c>
      <c r="O61" s="73"/>
      <c r="P61" s="72"/>
      <c r="Q61" s="23" t="s">
        <v>24</v>
      </c>
      <c r="R61" s="75"/>
      <c r="S61" s="5"/>
      <c r="T61" s="5"/>
      <c r="U61" s="5"/>
    </row>
    <row r="62" spans="2:21" x14ac:dyDescent="0.25">
      <c r="B62" s="22">
        <f t="shared" si="7"/>
        <v>0.58333333333333337</v>
      </c>
      <c r="C62" s="31" t="s">
        <v>97</v>
      </c>
      <c r="D62" s="21" t="str">
        <f t="shared" si="5"/>
        <v>LEG</v>
      </c>
      <c r="E62" s="21" t="str">
        <f t="shared" si="6"/>
        <v>TRV</v>
      </c>
      <c r="F62" s="110" t="str">
        <f>ONE</f>
        <v>OnewheeleRS</v>
      </c>
      <c r="G62" s="110"/>
      <c r="H62" s="110"/>
      <c r="I62" s="110"/>
      <c r="J62" s="21" t="s">
        <v>24</v>
      </c>
      <c r="K62" s="110" t="str">
        <f>GST</f>
        <v>Geisterfahrer</v>
      </c>
      <c r="L62" s="110"/>
      <c r="M62" s="70"/>
      <c r="N62" s="21" t="s">
        <v>24</v>
      </c>
      <c r="O62" s="73"/>
      <c r="P62" s="72"/>
      <c r="Q62" s="23" t="s">
        <v>24</v>
      </c>
      <c r="R62" s="75"/>
      <c r="S62" s="5"/>
      <c r="T62" s="5"/>
      <c r="U62" s="5"/>
    </row>
    <row r="63" spans="2:21" x14ac:dyDescent="0.25">
      <c r="B63" s="22">
        <f t="shared" si="7"/>
        <v>0.60416666666666674</v>
      </c>
      <c r="C63" s="21" t="s">
        <v>98</v>
      </c>
      <c r="D63" s="21" t="str">
        <f t="shared" si="5"/>
        <v>ONE</v>
      </c>
      <c r="E63" s="21" t="str">
        <f t="shared" si="6"/>
        <v>GST</v>
      </c>
      <c r="F63" s="110" t="str">
        <f>UTH</f>
        <v>SKV Mörfelden UniThunder</v>
      </c>
      <c r="G63" s="110"/>
      <c r="H63" s="110"/>
      <c r="I63" s="110"/>
      <c r="J63" s="21" t="s">
        <v>24</v>
      </c>
      <c r="K63" s="110" t="str">
        <f>TRV</f>
        <v>MJC Trier - Die Treverer</v>
      </c>
      <c r="L63" s="110"/>
      <c r="M63" s="70"/>
      <c r="N63" s="21" t="s">
        <v>24</v>
      </c>
      <c r="O63" s="73"/>
      <c r="P63" s="72"/>
      <c r="Q63" s="23" t="s">
        <v>24</v>
      </c>
      <c r="R63" s="75"/>
      <c r="S63" s="5"/>
      <c r="T63" s="5"/>
      <c r="U63" s="5"/>
    </row>
    <row r="64" spans="2:21" x14ac:dyDescent="0.25">
      <c r="B64" s="22">
        <f t="shared" si="7"/>
        <v>0.62500000000000011</v>
      </c>
      <c r="C64" s="31" t="s">
        <v>99</v>
      </c>
      <c r="D64" s="21" t="str">
        <f t="shared" si="5"/>
        <v>UTH</v>
      </c>
      <c r="E64" s="21" t="str">
        <f t="shared" si="6"/>
        <v>TRV</v>
      </c>
      <c r="F64" s="110" t="str">
        <f>QRR</f>
        <v>Querrad</v>
      </c>
      <c r="G64" s="110"/>
      <c r="H64" s="110"/>
      <c r="I64" s="110"/>
      <c r="J64" s="21" t="s">
        <v>24</v>
      </c>
      <c r="K64" s="110" t="str">
        <f>GST</f>
        <v>Geisterfahrer</v>
      </c>
      <c r="L64" s="110"/>
      <c r="M64" s="70"/>
      <c r="N64" s="21" t="s">
        <v>24</v>
      </c>
      <c r="O64" s="73"/>
      <c r="P64" s="72"/>
      <c r="Q64" s="23" t="s">
        <v>24</v>
      </c>
      <c r="R64" s="75"/>
      <c r="S64" s="5"/>
      <c r="T64" s="5"/>
      <c r="U64" s="5"/>
    </row>
    <row r="65" spans="2:21" x14ac:dyDescent="0.25">
      <c r="B65" s="22">
        <f t="shared" si="7"/>
        <v>0.64583333333333348</v>
      </c>
      <c r="C65" s="21" t="s">
        <v>100</v>
      </c>
      <c r="D65" s="21" t="str">
        <f t="shared" si="5"/>
        <v>QRR</v>
      </c>
      <c r="E65" s="21" t="str">
        <f t="shared" si="6"/>
        <v>GST</v>
      </c>
      <c r="F65" s="110" t="str">
        <f>ONE</f>
        <v>OnewheeleRS</v>
      </c>
      <c r="G65" s="110"/>
      <c r="H65" s="110"/>
      <c r="I65" s="110"/>
      <c r="J65" s="21" t="s">
        <v>24</v>
      </c>
      <c r="K65" s="110" t="str">
        <f>LEG</f>
        <v>MJC Trier - Die Legionäre</v>
      </c>
      <c r="L65" s="110"/>
      <c r="M65" s="70"/>
      <c r="N65" s="21" t="s">
        <v>24</v>
      </c>
      <c r="O65" s="73"/>
      <c r="P65" s="72"/>
      <c r="Q65" s="23" t="s">
        <v>24</v>
      </c>
      <c r="R65" s="75"/>
      <c r="S65" s="5"/>
      <c r="T65" s="5"/>
      <c r="U65" s="5"/>
    </row>
    <row r="66" spans="2:21" x14ac:dyDescent="0.25">
      <c r="B66" s="22">
        <f t="shared" si="7"/>
        <v>0.66666666666666685</v>
      </c>
      <c r="C66" s="31" t="s">
        <v>101</v>
      </c>
      <c r="D66" s="21" t="str">
        <f t="shared" si="5"/>
        <v>ONE</v>
      </c>
      <c r="E66" s="21" t="str">
        <f t="shared" si="6"/>
        <v>LEG</v>
      </c>
      <c r="F66" s="110" t="str">
        <f>TRV</f>
        <v>MJC Trier - Die Treverer</v>
      </c>
      <c r="G66" s="110"/>
      <c r="H66" s="110"/>
      <c r="I66" s="110"/>
      <c r="J66" s="21" t="s">
        <v>24</v>
      </c>
      <c r="K66" s="110" t="str">
        <f>GST</f>
        <v>Geisterfahrer</v>
      </c>
      <c r="L66" s="110"/>
      <c r="M66" s="70"/>
      <c r="N66" s="21" t="s">
        <v>24</v>
      </c>
      <c r="O66" s="73"/>
      <c r="P66" s="72"/>
      <c r="Q66" s="23" t="s">
        <v>24</v>
      </c>
      <c r="R66" s="75"/>
      <c r="S66" s="5"/>
      <c r="T66" s="5"/>
      <c r="U66" s="5"/>
    </row>
    <row r="67" spans="2:21" x14ac:dyDescent="0.25">
      <c r="B67" s="22">
        <f t="shared" si="7"/>
        <v>0.68750000000000022</v>
      </c>
      <c r="C67" s="21" t="s">
        <v>102</v>
      </c>
      <c r="D67" s="21" t="str">
        <f t="shared" si="5"/>
        <v>TRV</v>
      </c>
      <c r="E67" s="21" t="str">
        <f t="shared" si="6"/>
        <v>GST</v>
      </c>
      <c r="F67" s="110" t="str">
        <f>LEG</f>
        <v>MJC Trier - Die Legionäre</v>
      </c>
      <c r="G67" s="110"/>
      <c r="H67" s="110"/>
      <c r="I67" s="110"/>
      <c r="J67" s="21" t="s">
        <v>24</v>
      </c>
      <c r="K67" s="110" t="str">
        <f>UTH</f>
        <v>SKV Mörfelden UniThunder</v>
      </c>
      <c r="L67" s="110"/>
      <c r="M67" s="70"/>
      <c r="N67" s="21" t="s">
        <v>24</v>
      </c>
      <c r="O67" s="73"/>
      <c r="P67" s="72"/>
      <c r="Q67" s="23" t="s">
        <v>24</v>
      </c>
      <c r="R67" s="75"/>
      <c r="S67" s="5"/>
      <c r="T67" s="5"/>
      <c r="U67" s="5"/>
    </row>
    <row r="68" spans="2:21" x14ac:dyDescent="0.25">
      <c r="B68" s="22">
        <f t="shared" si="7"/>
        <v>0.70833333333333359</v>
      </c>
      <c r="C68" s="31" t="s">
        <v>103</v>
      </c>
      <c r="D68" s="21" t="str">
        <f t="shared" si="5"/>
        <v>LEG</v>
      </c>
      <c r="E68" s="21" t="str">
        <f t="shared" si="6"/>
        <v>UTH</v>
      </c>
      <c r="F68" s="110" t="str">
        <f>ONE</f>
        <v>OnewheeleRS</v>
      </c>
      <c r="G68" s="110"/>
      <c r="H68" s="110"/>
      <c r="I68" s="110"/>
      <c r="J68" s="21" t="s">
        <v>24</v>
      </c>
      <c r="K68" s="110" t="str">
        <f>QRR</f>
        <v>Querrad</v>
      </c>
      <c r="L68" s="110"/>
      <c r="M68" s="70"/>
      <c r="N68" s="21" t="s">
        <v>24</v>
      </c>
      <c r="O68" s="73"/>
      <c r="P68" s="74"/>
      <c r="Q68" s="35" t="s">
        <v>24</v>
      </c>
      <c r="R68" s="76"/>
      <c r="S68" s="5"/>
      <c r="T68" s="5"/>
      <c r="U68" s="5"/>
    </row>
    <row r="70" spans="2:21" x14ac:dyDescent="0.25">
      <c r="B70" s="16" t="s">
        <v>88</v>
      </c>
      <c r="C70" s="14"/>
      <c r="D70" s="14"/>
      <c r="E70" s="14"/>
      <c r="F70" s="14"/>
      <c r="G70" s="14"/>
      <c r="H70" s="14"/>
      <c r="I70" s="14"/>
      <c r="J70" s="14"/>
      <c r="K70" s="15"/>
    </row>
    <row r="71" spans="2:21" x14ac:dyDescent="0.25">
      <c r="B71" s="25" t="s">
        <v>59</v>
      </c>
      <c r="C71" s="26" t="s">
        <v>33</v>
      </c>
      <c r="D71" s="27"/>
      <c r="E71" s="27"/>
      <c r="F71" s="24" t="s">
        <v>58</v>
      </c>
      <c r="G71" s="24" t="s">
        <v>53</v>
      </c>
      <c r="H71" s="24" t="s">
        <v>54</v>
      </c>
      <c r="I71" s="24" t="s">
        <v>55</v>
      </c>
      <c r="J71" s="112" t="s">
        <v>56</v>
      </c>
      <c r="K71" s="113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x14ac:dyDescent="0.25">
      <c r="B72" s="28">
        <v>1</v>
      </c>
      <c r="C72" s="114" t="str">
        <f>VLOOKUP($B72,Tippspiel_Rechner!$W$25:$AD$30,3,FALSE)</f>
        <v>OnewheeleRS</v>
      </c>
      <c r="D72" s="114"/>
      <c r="E72" s="114"/>
      <c r="F72" s="29">
        <f>VLOOKUP($B72,Tippspiel_Rechner!$W$25:$AD$30,4,FALSE)</f>
        <v>0</v>
      </c>
      <c r="G72" s="29">
        <f>VLOOKUP($B72,Tippspiel_Rechner!$W$25:$AD$30,5,FALSE)</f>
        <v>0</v>
      </c>
      <c r="H72" s="29">
        <f>VLOOKUP($B72,Tippspiel_Rechner!$W$25:$AD$30,6,FALSE)</f>
        <v>0</v>
      </c>
      <c r="I72" s="29">
        <f>VLOOKUP($B72,Tippspiel_Rechner!$W$25:$AD$30,7,FALSE)</f>
        <v>0</v>
      </c>
      <c r="J72" s="115">
        <f>VLOOKUP($B72,Tippspiel_Rechner!$W$25:$AD$30,8,FALSE)</f>
        <v>0</v>
      </c>
      <c r="K72" s="116" t="e">
        <f>VLOOKUP($C34,Rechner!$Y$6:$AD$12,COLUMN()-4,FALSE)</f>
        <v>#REF!</v>
      </c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x14ac:dyDescent="0.25">
      <c r="B73" s="28">
        <v>2</v>
      </c>
      <c r="C73" s="114" t="str">
        <f>VLOOKUP($B73,Tippspiel_Rechner!$W$25:$AD$30,3,FALSE)</f>
        <v>Querrad</v>
      </c>
      <c r="D73" s="114"/>
      <c r="E73" s="114"/>
      <c r="F73" s="29">
        <f>VLOOKUP($B73,Tippspiel_Rechner!$W$25:$AD$30,4,FALSE)</f>
        <v>0</v>
      </c>
      <c r="G73" s="29">
        <f>VLOOKUP($B73,Tippspiel_Rechner!$W$25:$AD$30,5,FALSE)</f>
        <v>0</v>
      </c>
      <c r="H73" s="29">
        <f>VLOOKUP($B73,Tippspiel_Rechner!$W$25:$AD$30,6,FALSE)</f>
        <v>0</v>
      </c>
      <c r="I73" s="29">
        <f>VLOOKUP($B73,Tippspiel_Rechner!$W$25:$AD$30,7,FALSE)</f>
        <v>0</v>
      </c>
      <c r="J73" s="115">
        <f>VLOOKUP($B73,Tippspiel_Rechner!$W$25:$AD$30,8,FALSE)</f>
        <v>0</v>
      </c>
      <c r="K73" s="116" t="e">
        <f>VLOOKUP($C35,Rechner!$Y$6:$AD$12,COLUMN()-4,FALSE)</f>
        <v>#REF!</v>
      </c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x14ac:dyDescent="0.25">
      <c r="B74" s="28">
        <v>3</v>
      </c>
      <c r="C74" s="114" t="str">
        <f>VLOOKUP($B74,Tippspiel_Rechner!$W$25:$AD$30,3,FALSE)</f>
        <v>MJC Trier - Die Legionäre</v>
      </c>
      <c r="D74" s="114"/>
      <c r="E74" s="114"/>
      <c r="F74" s="29">
        <f>VLOOKUP($B74,Tippspiel_Rechner!$W$25:$AD$30,4,FALSE)</f>
        <v>0</v>
      </c>
      <c r="G74" s="29">
        <f>VLOOKUP($B74,Tippspiel_Rechner!$W$25:$AD$30,5,FALSE)</f>
        <v>0</v>
      </c>
      <c r="H74" s="29">
        <f>VLOOKUP($B74,Tippspiel_Rechner!$W$25:$AD$30,6,FALSE)</f>
        <v>0</v>
      </c>
      <c r="I74" s="29">
        <f>VLOOKUP($B74,Tippspiel_Rechner!$W$25:$AD$30,7,FALSE)</f>
        <v>0</v>
      </c>
      <c r="J74" s="115">
        <f>VLOOKUP($B74,Tippspiel_Rechner!$W$25:$AD$30,8,FALSE)</f>
        <v>0</v>
      </c>
      <c r="K74" s="116" t="e">
        <f>VLOOKUP($C36,Rechner!$Y$6:$AD$12,COLUMN()-4,FALSE)</f>
        <v>#REF!</v>
      </c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x14ac:dyDescent="0.25">
      <c r="B75" s="28">
        <v>4</v>
      </c>
      <c r="C75" s="114" t="str">
        <f>VLOOKUP($B75,Tippspiel_Rechner!$W$25:$AD$30,3,FALSE)</f>
        <v>SKV Mörfelden UniThunder</v>
      </c>
      <c r="D75" s="114"/>
      <c r="E75" s="114"/>
      <c r="F75" s="29">
        <f>VLOOKUP($B75,Tippspiel_Rechner!$W$25:$AD$30,4,FALSE)</f>
        <v>0</v>
      </c>
      <c r="G75" s="29">
        <f>VLOOKUP($B75,Tippspiel_Rechner!$W$25:$AD$30,5,FALSE)</f>
        <v>0</v>
      </c>
      <c r="H75" s="29">
        <f>VLOOKUP($B75,Tippspiel_Rechner!$W$25:$AD$30,6,FALSE)</f>
        <v>0</v>
      </c>
      <c r="I75" s="29">
        <f>VLOOKUP($B75,Tippspiel_Rechner!$W$25:$AD$30,7,FALSE)</f>
        <v>0</v>
      </c>
      <c r="J75" s="115">
        <f>VLOOKUP($B75,Tippspiel_Rechner!$W$25:$AD$30,8,FALSE)</f>
        <v>0</v>
      </c>
      <c r="K75" s="116" t="e">
        <f>VLOOKUP($C37,Rechner!$Y$6:$AD$12,COLUMN()-4,FALSE)</f>
        <v>#REF!</v>
      </c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x14ac:dyDescent="0.25">
      <c r="B76" s="28">
        <v>5</v>
      </c>
      <c r="C76" s="114" t="str">
        <f>VLOOKUP($B76,Tippspiel_Rechner!$W$25:$AD$30,3,FALSE)</f>
        <v>MJC Trier - Die Treverer</v>
      </c>
      <c r="D76" s="114"/>
      <c r="E76" s="114"/>
      <c r="F76" s="29">
        <f>VLOOKUP($B76,Tippspiel_Rechner!$W$25:$AD$30,4,FALSE)</f>
        <v>0</v>
      </c>
      <c r="G76" s="29">
        <f>VLOOKUP($B76,Tippspiel_Rechner!$W$25:$AD$30,5,FALSE)</f>
        <v>0</v>
      </c>
      <c r="H76" s="29">
        <f>VLOOKUP($B76,Tippspiel_Rechner!$W$25:$AD$30,6,FALSE)</f>
        <v>0</v>
      </c>
      <c r="I76" s="29">
        <f>VLOOKUP($B76,Tippspiel_Rechner!$W$25:$AD$30,7,FALSE)</f>
        <v>0</v>
      </c>
      <c r="J76" s="115">
        <f>VLOOKUP($B76,Tippspiel_Rechner!$W$25:$AD$30,8,FALSE)</f>
        <v>0</v>
      </c>
      <c r="K76" s="116" t="e">
        <f>VLOOKUP($C38,Rechner!$Y$6:$AD$12,COLUMN()-4,FALSE)</f>
        <v>#REF!</v>
      </c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x14ac:dyDescent="0.25">
      <c r="B77" s="28">
        <v>6</v>
      </c>
      <c r="C77" s="114" t="str">
        <f>VLOOKUP($B77,Tippspiel_Rechner!$W$25:$AD$30,3,FALSE)</f>
        <v>Geisterfahrer</v>
      </c>
      <c r="D77" s="114"/>
      <c r="E77" s="114"/>
      <c r="F77" s="29">
        <f>VLOOKUP($B77,Tippspiel_Rechner!$W$25:$AD$30,4,FALSE)</f>
        <v>0</v>
      </c>
      <c r="G77" s="29">
        <f>VLOOKUP($B77,Tippspiel_Rechner!$W$25:$AD$30,5,FALSE)</f>
        <v>0</v>
      </c>
      <c r="H77" s="29">
        <f>VLOOKUP($B77,Tippspiel_Rechner!$W$25:$AD$30,6,FALSE)</f>
        <v>0</v>
      </c>
      <c r="I77" s="29">
        <f>VLOOKUP($B77,Tippspiel_Rechner!$W$25:$AD$30,7,FALSE)</f>
        <v>0</v>
      </c>
      <c r="J77" s="115">
        <f>VLOOKUP($B77,Tippspiel_Rechner!$W$25:$AD$30,8,FALSE)</f>
        <v>0</v>
      </c>
      <c r="K77" s="116" t="e">
        <f>VLOOKUP($C39,Rechner!$Y$6:$AD$12,COLUMN()-4,FALSE)</f>
        <v>#REF!</v>
      </c>
      <c r="L77" s="5"/>
      <c r="M77" s="5"/>
      <c r="N77" s="5"/>
      <c r="O77" s="5"/>
      <c r="P77" s="5"/>
      <c r="Q77" s="5"/>
      <c r="R77" s="5"/>
      <c r="S77" s="5"/>
      <c r="T77" s="5"/>
      <c r="U77" s="5"/>
    </row>
    <row r="78" spans="2:21" x14ac:dyDescent="0.25">
      <c r="B78" s="4" t="b">
        <f>Tippspiel_Rechner!Y31</f>
        <v>0</v>
      </c>
      <c r="C78" s="6" t="str">
        <f>IF(B78,"Es liegen mindestens ein direkter Vergleich vor. Bitte löse diese mit Hilfe der Dropdowns.","")</f>
        <v/>
      </c>
    </row>
    <row r="80" spans="2:21" ht="18.75" customHeight="1" x14ac:dyDescent="0.25">
      <c r="B80" s="101" t="s">
        <v>104</v>
      </c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3"/>
    </row>
    <row r="81" spans="2:24" ht="3.75" customHeight="1" x14ac:dyDescent="0.25"/>
    <row r="82" spans="2:24" ht="18.75" customHeight="1" x14ac:dyDescent="0.25">
      <c r="B82" s="104" t="s">
        <v>105</v>
      </c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6"/>
    </row>
    <row r="85" spans="2:24" x14ac:dyDescent="0.25">
      <c r="B85" s="16" t="s">
        <v>114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17" t="s">
        <v>3</v>
      </c>
      <c r="N85" s="96"/>
      <c r="O85" s="97"/>
      <c r="P85" s="117" t="s">
        <v>57</v>
      </c>
      <c r="Q85" s="96"/>
      <c r="R85" s="97"/>
      <c r="S85" s="96" t="s">
        <v>50</v>
      </c>
      <c r="T85" s="96"/>
      <c r="U85" s="97"/>
    </row>
    <row r="86" spans="2:24" x14ac:dyDescent="0.25">
      <c r="B86" s="17" t="s">
        <v>4</v>
      </c>
      <c r="C86" s="18" t="s">
        <v>5</v>
      </c>
      <c r="D86" s="108" t="s">
        <v>6</v>
      </c>
      <c r="E86" s="108"/>
      <c r="F86" s="109" t="s">
        <v>7</v>
      </c>
      <c r="G86" s="109"/>
      <c r="H86" s="109"/>
      <c r="I86" s="109"/>
      <c r="J86" s="19"/>
      <c r="K86" s="19" t="s">
        <v>8</v>
      </c>
      <c r="L86" s="19"/>
      <c r="M86" s="118"/>
      <c r="N86" s="98"/>
      <c r="O86" s="99"/>
      <c r="P86" s="118" t="s">
        <v>50</v>
      </c>
      <c r="Q86" s="98"/>
      <c r="R86" s="99"/>
      <c r="S86" s="98" t="s">
        <v>50</v>
      </c>
      <c r="T86" s="98"/>
      <c r="U86" s="99"/>
    </row>
    <row r="87" spans="2:24" x14ac:dyDescent="0.25">
      <c r="B87" s="32">
        <v>0.375</v>
      </c>
      <c r="C87" s="31" t="s">
        <v>106</v>
      </c>
      <c r="D87" s="31" t="str">
        <f>IF(F34&gt;=5,VLOOKUP(C34,$C$7:$F$12,4,FALSE),"A1")</f>
        <v>A1</v>
      </c>
      <c r="E87" s="31" t="str">
        <f>IF(F73&gt;=5,VLOOKUP(C73,$C$45:$F$50,4,FALSE),"B2")</f>
        <v>B2</v>
      </c>
      <c r="F87" s="111" t="str">
        <f>IF(F38&gt;=5,C38,"Gruppe A Platz 5")</f>
        <v>Gruppe A Platz 5</v>
      </c>
      <c r="G87" s="111"/>
      <c r="H87" s="111"/>
      <c r="I87" s="111"/>
      <c r="J87" s="31" t="s">
        <v>24</v>
      </c>
      <c r="K87" s="111" t="str">
        <f>IF(F77&gt;=5,C77,"Gruppe B Platz 6")</f>
        <v>Gruppe B Platz 6</v>
      </c>
      <c r="L87" s="111"/>
      <c r="M87" s="69"/>
      <c r="N87" s="31" t="s">
        <v>24</v>
      </c>
      <c r="O87" s="71"/>
      <c r="P87" s="72"/>
      <c r="Q87" s="23" t="s">
        <v>24</v>
      </c>
      <c r="R87" s="75"/>
      <c r="S87" s="72"/>
      <c r="T87" s="23" t="s">
        <v>24</v>
      </c>
      <c r="U87" s="75"/>
      <c r="W87" t="b">
        <f>IF(ISNUMBER(M87),SUM(M87,P87,S87),FALSE)</f>
        <v>0</v>
      </c>
      <c r="X87" t="b">
        <f>IF(ISNUMBER(O87),SUM(O87,R87,U87),FALSE)</f>
        <v>0</v>
      </c>
    </row>
    <row r="88" spans="2:24" x14ac:dyDescent="0.25">
      <c r="B88" s="22">
        <f>B87+TIME(0,30,0)</f>
        <v>0.39583333333333331</v>
      </c>
      <c r="C88" s="21" t="s">
        <v>107</v>
      </c>
      <c r="D88" s="21" t="str">
        <f>IF(F72&gt;=5,VLOOKUP(C72,$C$45:$F$50,4,FALSE),"B1")</f>
        <v>B1</v>
      </c>
      <c r="E88" s="21" t="str">
        <f>IF(F35&gt;=5,VLOOKUP(C35,$C$7:$F$12,4,FALSE),"A2")</f>
        <v>A2</v>
      </c>
      <c r="F88" s="110" t="str">
        <f>IF(F76&gt;=5,C76,"Gruppe B Platz 5")</f>
        <v>Gruppe B Platz 5</v>
      </c>
      <c r="G88" s="110"/>
      <c r="H88" s="110"/>
      <c r="I88" s="110"/>
      <c r="J88" s="21" t="s">
        <v>24</v>
      </c>
      <c r="K88" s="110" t="str">
        <f>IF(F39&gt;=5,C39,"Gruppe A Platz 6")</f>
        <v>Gruppe A Platz 6</v>
      </c>
      <c r="L88" s="110"/>
      <c r="M88" s="70"/>
      <c r="N88" s="21" t="s">
        <v>24</v>
      </c>
      <c r="O88" s="73"/>
      <c r="P88" s="72"/>
      <c r="Q88" s="23" t="s">
        <v>24</v>
      </c>
      <c r="R88" s="75"/>
      <c r="S88" s="72"/>
      <c r="T88" s="23" t="s">
        <v>24</v>
      </c>
      <c r="U88" s="75"/>
      <c r="W88" t="b">
        <f t="shared" ref="W88:W98" si="8">IF(ISNUMBER(M88),SUM(M88,P88,S88),FALSE)</f>
        <v>0</v>
      </c>
      <c r="X88" t="b">
        <f t="shared" ref="X88:X98" si="9">IF(ISNUMBER(O88),SUM(O88,R88,U88),FALSE)</f>
        <v>0</v>
      </c>
    </row>
    <row r="89" spans="2:24" x14ac:dyDescent="0.25">
      <c r="B89" s="22">
        <f t="shared" ref="B89:B98" si="10">B88+TIME(0,30,0)</f>
        <v>0.41666666666666663</v>
      </c>
      <c r="C89" s="21" t="s">
        <v>108</v>
      </c>
      <c r="D89" s="21" t="str">
        <f>IF(F38&gt;=5,VLOOKUP(C38,$C$7:$F$12,4,FALSE),"A5")</f>
        <v>A5</v>
      </c>
      <c r="E89" s="21" t="str">
        <f>IF(F77&gt;=5,VLOOKUP(C77,$C$45:$F$50,4,FALSE),"B6")</f>
        <v>B6</v>
      </c>
      <c r="F89" s="110" t="str">
        <f>IF(F36&gt;=5,C36,"Gruppe A Platz 3")</f>
        <v>Gruppe A Platz 3</v>
      </c>
      <c r="G89" s="110"/>
      <c r="H89" s="110"/>
      <c r="I89" s="110"/>
      <c r="J89" s="21" t="s">
        <v>24</v>
      </c>
      <c r="K89" s="110" t="str">
        <f>IF(F75&gt;=5,C75,"Gruppe B Platz 4")</f>
        <v>Gruppe B Platz 4</v>
      </c>
      <c r="L89" s="110"/>
      <c r="M89" s="70"/>
      <c r="N89" s="21" t="s">
        <v>24</v>
      </c>
      <c r="O89" s="73"/>
      <c r="P89" s="72"/>
      <c r="Q89" s="23" t="s">
        <v>24</v>
      </c>
      <c r="R89" s="75"/>
      <c r="S89" s="72"/>
      <c r="T89" s="23" t="s">
        <v>24</v>
      </c>
      <c r="U89" s="75"/>
      <c r="W89" t="b">
        <f t="shared" si="8"/>
        <v>0</v>
      </c>
      <c r="X89" t="b">
        <f t="shared" si="9"/>
        <v>0</v>
      </c>
    </row>
    <row r="90" spans="2:24" x14ac:dyDescent="0.25">
      <c r="B90" s="22">
        <f t="shared" si="10"/>
        <v>0.43749999999999994</v>
      </c>
      <c r="C90" s="21" t="s">
        <v>109</v>
      </c>
      <c r="D90" s="21" t="str">
        <f>IF(F76&gt;=5,VLOOKUP(C76,$C$45:$F$50,4,FALSE),"B5")</f>
        <v>B5</v>
      </c>
      <c r="E90" s="21" t="str">
        <f>IF(F39&gt;=5,VLOOKUP(C39,$C$7:$F$12,4,FALSE),"A6")</f>
        <v>A6</v>
      </c>
      <c r="F90" s="110" t="str">
        <f>IF(F74&gt;=5,C74,"Gruppe B Platz 3")</f>
        <v>Gruppe B Platz 3</v>
      </c>
      <c r="G90" s="110"/>
      <c r="H90" s="110"/>
      <c r="I90" s="110"/>
      <c r="J90" s="21" t="s">
        <v>24</v>
      </c>
      <c r="K90" s="110" t="str">
        <f>IF(F37&gt;=5,C37,"Gruppe A Platz 4")</f>
        <v>Gruppe A Platz 4</v>
      </c>
      <c r="L90" s="110"/>
      <c r="M90" s="70"/>
      <c r="N90" s="21" t="s">
        <v>24</v>
      </c>
      <c r="O90" s="73"/>
      <c r="P90" s="72"/>
      <c r="Q90" s="23" t="s">
        <v>24</v>
      </c>
      <c r="R90" s="75"/>
      <c r="S90" s="72"/>
      <c r="T90" s="23" t="s">
        <v>24</v>
      </c>
      <c r="U90" s="75"/>
      <c r="W90" t="b">
        <f t="shared" si="8"/>
        <v>0</v>
      </c>
      <c r="X90" t="b">
        <f t="shared" si="9"/>
        <v>0</v>
      </c>
    </row>
    <row r="91" spans="2:24" x14ac:dyDescent="0.25">
      <c r="B91" s="22">
        <f t="shared" si="10"/>
        <v>0.45833333333333326</v>
      </c>
      <c r="C91" s="21" t="s">
        <v>51</v>
      </c>
      <c r="D91" s="21" t="str">
        <f>IF(F36&gt;=5,VLOOKUP(C36,$C$7:$F$12,4,FALSE),"A3")</f>
        <v>A3</v>
      </c>
      <c r="E91" s="21" t="str">
        <f>IF(F75&gt;=5,VLOOKUP(C75,$C$45:$F$50,4,FALSE),"B4")</f>
        <v>B4</v>
      </c>
      <c r="F91" s="110" t="str">
        <f>IF(F34&gt;=5,C34,"Gruppe A Platz 1")</f>
        <v>Gruppe A Platz 1</v>
      </c>
      <c r="G91" s="110"/>
      <c r="H91" s="110"/>
      <c r="I91" s="110"/>
      <c r="J91" s="21" t="s">
        <v>24</v>
      </c>
      <c r="K91" s="110" t="str">
        <f>IF(F73&gt;=5,C73,"Gruppe B Platz 2")</f>
        <v>Gruppe B Platz 2</v>
      </c>
      <c r="L91" s="110"/>
      <c r="M91" s="70"/>
      <c r="N91" s="21" t="s">
        <v>24</v>
      </c>
      <c r="O91" s="73"/>
      <c r="P91" s="72"/>
      <c r="Q91" s="23" t="s">
        <v>24</v>
      </c>
      <c r="R91" s="75"/>
      <c r="S91" s="72"/>
      <c r="T91" s="23" t="s">
        <v>24</v>
      </c>
      <c r="U91" s="75"/>
      <c r="W91" t="b">
        <f t="shared" si="8"/>
        <v>0</v>
      </c>
      <c r="X91" t="b">
        <f t="shared" si="9"/>
        <v>0</v>
      </c>
    </row>
    <row r="92" spans="2:24" x14ac:dyDescent="0.25">
      <c r="B92" s="22">
        <f t="shared" si="10"/>
        <v>0.47916666666666657</v>
      </c>
      <c r="C92" s="21" t="s">
        <v>52</v>
      </c>
      <c r="D92" s="21" t="str">
        <f>IF(F74&gt;=5,VLOOKUP(C74,$C$45:$F$50,4,FALSE),"B3")</f>
        <v>B3</v>
      </c>
      <c r="E92" s="21" t="str">
        <f>IF(F37&gt;=5,VLOOKUP(C37,$C$7:$F$12,4,FALSE),"A4")</f>
        <v>A4</v>
      </c>
      <c r="F92" s="110" t="str">
        <f>IF(F72&gt;=5,C72,"Gruppe B Platz 1")</f>
        <v>Gruppe B Platz 1</v>
      </c>
      <c r="G92" s="110"/>
      <c r="H92" s="110"/>
      <c r="I92" s="110"/>
      <c r="J92" s="21" t="s">
        <v>24</v>
      </c>
      <c r="K92" s="110" t="str">
        <f>IF(F35&gt;=5,C35,"Gruppe A Platz 2")</f>
        <v>Gruppe A Platz 2</v>
      </c>
      <c r="L92" s="110"/>
      <c r="M92" s="70"/>
      <c r="N92" s="21" t="s">
        <v>24</v>
      </c>
      <c r="O92" s="73"/>
      <c r="P92" s="72"/>
      <c r="Q92" s="23" t="s">
        <v>24</v>
      </c>
      <c r="R92" s="75"/>
      <c r="S92" s="72"/>
      <c r="T92" s="23" t="s">
        <v>24</v>
      </c>
      <c r="U92" s="75"/>
      <c r="W92" t="b">
        <f t="shared" si="8"/>
        <v>0</v>
      </c>
      <c r="X92" t="b">
        <f t="shared" si="9"/>
        <v>0</v>
      </c>
    </row>
    <row r="93" spans="2:24" x14ac:dyDescent="0.25">
      <c r="B93" s="22">
        <f t="shared" si="10"/>
        <v>0.49999999999999989</v>
      </c>
      <c r="C93" s="21" t="s">
        <v>110</v>
      </c>
      <c r="D93" s="21" t="str">
        <f>IFERROR(VLOOKUP(F97,$B$124:$C$135,2,FALSE),"VHF1")</f>
        <v>VHF1</v>
      </c>
      <c r="E93" s="21" t="str">
        <f>IFERROR(VLOOKUP(K97,$B$124:$C$135,2,FALSE),"VHF2")</f>
        <v>VHF2</v>
      </c>
      <c r="F93" s="110" t="str">
        <f>IF(W87=X87,"Verlierer HF5",IF(W87&gt;X87,K87,F87))</f>
        <v>Verlierer HF5</v>
      </c>
      <c r="G93" s="110"/>
      <c r="H93" s="110"/>
      <c r="I93" s="110"/>
      <c r="J93" s="21" t="s">
        <v>24</v>
      </c>
      <c r="K93" s="110" t="str">
        <f>IF(W88=X88,"Verlierer HF6",IF(W88&gt;X88,K88,F88))</f>
        <v>Verlierer HF6</v>
      </c>
      <c r="L93" s="110"/>
      <c r="M93" s="70"/>
      <c r="N93" s="21" t="s">
        <v>24</v>
      </c>
      <c r="O93" s="73"/>
      <c r="P93" s="72"/>
      <c r="Q93" s="23" t="s">
        <v>24</v>
      </c>
      <c r="R93" s="75"/>
      <c r="S93" s="72"/>
      <c r="T93" s="23" t="s">
        <v>24</v>
      </c>
      <c r="U93" s="75"/>
      <c r="W93" t="b">
        <f t="shared" si="8"/>
        <v>0</v>
      </c>
      <c r="X93" t="b">
        <f t="shared" si="9"/>
        <v>0</v>
      </c>
    </row>
    <row r="94" spans="2:24" x14ac:dyDescent="0.25">
      <c r="B94" s="22">
        <f t="shared" si="10"/>
        <v>0.52083333333333326</v>
      </c>
      <c r="C94" s="21" t="s">
        <v>111</v>
      </c>
      <c r="D94" s="21" t="str">
        <f>IFERROR(VLOOKUP(F98,$B$124:$C$135,2,FALSE),"GHF1")</f>
        <v>GHF1</v>
      </c>
      <c r="E94" s="21" t="str">
        <f>IFERROR(VLOOKUP(K98,$B$124:$C$135,2,FALSE),"GHF2")</f>
        <v>GHF2</v>
      </c>
      <c r="F94" s="110" t="str">
        <f>IF(W87=X87,"Gewinner HF5",IF(W87&gt;X87,F87,K87))</f>
        <v>Gewinner HF5</v>
      </c>
      <c r="G94" s="110"/>
      <c r="H94" s="110"/>
      <c r="I94" s="110"/>
      <c r="J94" s="21" t="s">
        <v>24</v>
      </c>
      <c r="K94" s="110" t="str">
        <f>IF(W88=X88,"Gewinner HF6",IF(W88&gt;X88,F88,K88))</f>
        <v>Gewinner HF6</v>
      </c>
      <c r="L94" s="110"/>
      <c r="M94" s="70"/>
      <c r="N94" s="21" t="s">
        <v>24</v>
      </c>
      <c r="O94" s="73"/>
      <c r="P94" s="72"/>
      <c r="Q94" s="23" t="s">
        <v>24</v>
      </c>
      <c r="R94" s="75"/>
      <c r="S94" s="72"/>
      <c r="T94" s="23" t="s">
        <v>24</v>
      </c>
      <c r="U94" s="75"/>
      <c r="W94" t="b">
        <f t="shared" si="8"/>
        <v>0</v>
      </c>
      <c r="X94" t="b">
        <f t="shared" si="9"/>
        <v>0</v>
      </c>
    </row>
    <row r="95" spans="2:24" x14ac:dyDescent="0.25">
      <c r="B95" s="22">
        <f t="shared" si="10"/>
        <v>0.54166666666666663</v>
      </c>
      <c r="C95" s="21" t="s">
        <v>112</v>
      </c>
      <c r="D95" s="21" t="str">
        <f>IFERROR(VLOOKUP(F93,$B$124:$C$135,2,FALSE),"VHF5")</f>
        <v>VHF5</v>
      </c>
      <c r="E95" s="21" t="str">
        <f>IFERROR(VLOOKUP(K93,$B$124:$C$135,2,FALSE),"VHF6")</f>
        <v>VHF6</v>
      </c>
      <c r="F95" s="110" t="str">
        <f>IF(W89=X89,"Verlierer HF3",IF(W89&gt;X89,K89,F89))</f>
        <v>Verlierer HF3</v>
      </c>
      <c r="G95" s="110"/>
      <c r="H95" s="110"/>
      <c r="I95" s="110"/>
      <c r="J95" s="21" t="s">
        <v>24</v>
      </c>
      <c r="K95" s="110" t="str">
        <f>IF(W90=X90,"Verlierer HF4",IF(W90&gt;X90,K90,F90))</f>
        <v>Verlierer HF4</v>
      </c>
      <c r="L95" s="110"/>
      <c r="M95" s="70"/>
      <c r="N95" s="21" t="s">
        <v>24</v>
      </c>
      <c r="O95" s="73"/>
      <c r="P95" s="72"/>
      <c r="Q95" s="23" t="s">
        <v>24</v>
      </c>
      <c r="R95" s="75"/>
      <c r="S95" s="72"/>
      <c r="T95" s="23" t="s">
        <v>24</v>
      </c>
      <c r="U95" s="75"/>
      <c r="W95" t="b">
        <f t="shared" si="8"/>
        <v>0</v>
      </c>
      <c r="X95" t="b">
        <f t="shared" si="9"/>
        <v>0</v>
      </c>
    </row>
    <row r="96" spans="2:24" x14ac:dyDescent="0.25">
      <c r="B96" s="22">
        <f t="shared" si="10"/>
        <v>0.5625</v>
      </c>
      <c r="C96" s="21" t="s">
        <v>113</v>
      </c>
      <c r="D96" s="21" t="str">
        <f>IFERROR(VLOOKUP(F94,$B$124:$C$135,2,FALSE),"GHF5")</f>
        <v>GHF5</v>
      </c>
      <c r="E96" s="21" t="str">
        <f>IFERROR(VLOOKUP(K94,$B$124:$C$135,2,FALSE),"GHF6")</f>
        <v>GHF6</v>
      </c>
      <c r="F96" s="110" t="str">
        <f>IF(W89=X89,"Gewinner HF3",IF(W89&gt;X89,F89,K89))</f>
        <v>Gewinner HF3</v>
      </c>
      <c r="G96" s="110"/>
      <c r="H96" s="110"/>
      <c r="I96" s="110"/>
      <c r="J96" s="21" t="s">
        <v>24</v>
      </c>
      <c r="K96" s="110" t="str">
        <f>IF(W90=X90,"Gewinner HF4",IF(W90&gt;X90,F90,K90))</f>
        <v>Gewinner HF4</v>
      </c>
      <c r="L96" s="110"/>
      <c r="M96" s="70"/>
      <c r="N96" s="21" t="s">
        <v>24</v>
      </c>
      <c r="O96" s="73"/>
      <c r="P96" s="72"/>
      <c r="Q96" s="23" t="s">
        <v>24</v>
      </c>
      <c r="R96" s="75"/>
      <c r="S96" s="72"/>
      <c r="T96" s="23" t="s">
        <v>24</v>
      </c>
      <c r="U96" s="75"/>
      <c r="W96" t="b">
        <f t="shared" si="8"/>
        <v>0</v>
      </c>
      <c r="X96" t="b">
        <f t="shared" si="9"/>
        <v>0</v>
      </c>
    </row>
    <row r="97" spans="2:24" x14ac:dyDescent="0.25">
      <c r="B97" s="22">
        <f t="shared" si="10"/>
        <v>0.58333333333333337</v>
      </c>
      <c r="C97" s="21" t="s">
        <v>34</v>
      </c>
      <c r="D97" s="21" t="str">
        <f>IFERROR(VLOOKUP(F95,$B$124:$C$135,2,FALSE),"VHF3")</f>
        <v>VHF3</v>
      </c>
      <c r="E97" s="21" t="str">
        <f>IFERROR(VLOOKUP(K95,$B$124:$C$135,2,FALSE),"VHF4")</f>
        <v>VHF4</v>
      </c>
      <c r="F97" s="110" t="str">
        <f>IF(W91=X91,"Verlierer HF1",IF(W91&gt;X91,K91,F91))</f>
        <v>Verlierer HF1</v>
      </c>
      <c r="G97" s="110"/>
      <c r="H97" s="110"/>
      <c r="I97" s="110"/>
      <c r="J97" s="21" t="s">
        <v>24</v>
      </c>
      <c r="K97" s="110" t="str">
        <f>IF(W92=X92,"Verlierer HF2",IF(W92&gt;X92,K92,F92))</f>
        <v>Verlierer HF2</v>
      </c>
      <c r="L97" s="110"/>
      <c r="M97" s="70"/>
      <c r="N97" s="21" t="s">
        <v>24</v>
      </c>
      <c r="O97" s="73"/>
      <c r="P97" s="72"/>
      <c r="Q97" s="23" t="s">
        <v>24</v>
      </c>
      <c r="R97" s="75"/>
      <c r="S97" s="72"/>
      <c r="T97" s="23" t="s">
        <v>24</v>
      </c>
      <c r="U97" s="75"/>
      <c r="W97" t="b">
        <f t="shared" si="8"/>
        <v>0</v>
      </c>
      <c r="X97" t="b">
        <f t="shared" si="9"/>
        <v>0</v>
      </c>
    </row>
    <row r="98" spans="2:24" x14ac:dyDescent="0.25">
      <c r="B98" s="22">
        <f t="shared" si="10"/>
        <v>0.60416666666666674</v>
      </c>
      <c r="C98" s="21" t="s">
        <v>35</v>
      </c>
      <c r="D98" s="21" t="str">
        <f>IFERROR(VLOOKUP(F96,$B$124:$C$135,2,FALSE),"GHF3")</f>
        <v>GHF3</v>
      </c>
      <c r="E98" s="21" t="str">
        <f>IFERROR(VLOOKUP(K96,$B$124:$C$135,2,FALSE),"GHF4")</f>
        <v>GHF4</v>
      </c>
      <c r="F98" s="110" t="str">
        <f>IF(W91=X91,"Gewinner HF1",IF(W91&gt;X91,F91,K91))</f>
        <v>Gewinner HF1</v>
      </c>
      <c r="G98" s="110"/>
      <c r="H98" s="110"/>
      <c r="I98" s="110"/>
      <c r="J98" s="21" t="s">
        <v>24</v>
      </c>
      <c r="K98" s="110" t="str">
        <f>IF(W92=X92,"Gewinner HF2",IF(W92&gt;X92,F92,K92))</f>
        <v>Gewinner HF2</v>
      </c>
      <c r="L98" s="110"/>
      <c r="M98" s="70"/>
      <c r="N98" s="21" t="s">
        <v>24</v>
      </c>
      <c r="O98" s="73"/>
      <c r="P98" s="74"/>
      <c r="Q98" s="35" t="s">
        <v>24</v>
      </c>
      <c r="R98" s="76"/>
      <c r="S98" s="74"/>
      <c r="T98" s="35" t="s">
        <v>24</v>
      </c>
      <c r="U98" s="76"/>
      <c r="W98" t="b">
        <f t="shared" si="8"/>
        <v>0</v>
      </c>
      <c r="X98" t="b">
        <f t="shared" si="9"/>
        <v>0</v>
      </c>
    </row>
    <row r="101" spans="2:24" x14ac:dyDescent="0.25">
      <c r="B101" s="120" t="s">
        <v>60</v>
      </c>
      <c r="C101" s="121"/>
      <c r="D101" s="121"/>
      <c r="E101" s="121"/>
      <c r="F101" s="121"/>
      <c r="G101" s="121"/>
      <c r="H101" s="121"/>
      <c r="I101" s="121"/>
      <c r="J101" s="121"/>
      <c r="K101" s="122"/>
    </row>
    <row r="102" spans="2:24" x14ac:dyDescent="0.25">
      <c r="B102" s="30" t="s">
        <v>59</v>
      </c>
      <c r="C102" s="36" t="s">
        <v>33</v>
      </c>
      <c r="D102" s="34"/>
      <c r="E102" s="34"/>
      <c r="F102" s="34"/>
      <c r="G102" s="34"/>
      <c r="H102" s="34"/>
      <c r="I102" s="34"/>
      <c r="J102" s="34"/>
      <c r="K102" s="37"/>
    </row>
    <row r="103" spans="2:24" x14ac:dyDescent="0.25">
      <c r="B103" s="9">
        <v>1</v>
      </c>
      <c r="C103" s="100" t="str">
        <f>IF(W98=X98,"Gewinner Spiel um Platz 1",IF(W98&gt;X98,F98,K98))</f>
        <v>Gewinner Spiel um Platz 1</v>
      </c>
      <c r="D103" s="100"/>
      <c r="E103" s="100"/>
      <c r="F103" s="100"/>
      <c r="G103" s="100"/>
      <c r="H103" s="100"/>
      <c r="I103" s="100"/>
      <c r="J103" s="100"/>
      <c r="K103" s="119"/>
    </row>
    <row r="104" spans="2:24" x14ac:dyDescent="0.25">
      <c r="B104" s="9">
        <v>2</v>
      </c>
      <c r="C104" s="100" t="str">
        <f>IF(W98=X98,"Verlierer Spiel um Platz 1",IF(W98&gt;X98,K98,F98))</f>
        <v>Verlierer Spiel um Platz 1</v>
      </c>
      <c r="D104" s="100"/>
      <c r="E104" s="100"/>
      <c r="F104" s="100"/>
      <c r="G104" s="100"/>
      <c r="H104" s="100"/>
      <c r="I104" s="100"/>
      <c r="J104" s="100"/>
      <c r="K104" s="119"/>
    </row>
    <row r="105" spans="2:24" x14ac:dyDescent="0.25">
      <c r="B105" s="9">
        <v>3</v>
      </c>
      <c r="C105" s="100" t="str">
        <f>IF(W97=X97,"Gewinner Spiel um Platz 3",IF(W97&gt;X97,F97,K97))</f>
        <v>Gewinner Spiel um Platz 3</v>
      </c>
      <c r="D105" s="100"/>
      <c r="E105" s="100"/>
      <c r="F105" s="100"/>
      <c r="G105" s="100"/>
      <c r="H105" s="100"/>
      <c r="I105" s="100"/>
      <c r="J105" s="100"/>
      <c r="K105" s="119"/>
    </row>
    <row r="106" spans="2:24" x14ac:dyDescent="0.25">
      <c r="B106" s="9">
        <v>4</v>
      </c>
      <c r="C106" s="100" t="str">
        <f>IF(W97=X97,"Verlierer Spiel um Platz 3",IF(W97&gt;X97,K97,F97))</f>
        <v>Verlierer Spiel um Platz 3</v>
      </c>
      <c r="D106" s="100"/>
      <c r="E106" s="100"/>
      <c r="F106" s="100"/>
      <c r="G106" s="100"/>
      <c r="H106" s="100"/>
      <c r="I106" s="100"/>
      <c r="J106" s="100"/>
      <c r="K106" s="119"/>
    </row>
    <row r="107" spans="2:24" x14ac:dyDescent="0.25">
      <c r="B107" s="9">
        <v>5</v>
      </c>
      <c r="C107" s="100" t="str">
        <f>IF(W96=X96,"Gewinner Spiel um Platz 5",IF(W96&gt;X96,F96,K96))</f>
        <v>Gewinner Spiel um Platz 5</v>
      </c>
      <c r="D107" s="100"/>
      <c r="E107" s="100"/>
      <c r="F107" s="100"/>
      <c r="G107" s="100"/>
      <c r="H107" s="100"/>
      <c r="I107" s="100"/>
      <c r="J107" s="100"/>
      <c r="K107" s="119"/>
    </row>
    <row r="108" spans="2:24" x14ac:dyDescent="0.25">
      <c r="B108" s="9">
        <v>6</v>
      </c>
      <c r="C108" s="100" t="str">
        <f>IF(W96=X96,"Verlierer Spiel um Platz 5",IF(W96&gt;X96,K96,F96))</f>
        <v>Verlierer Spiel um Platz 5</v>
      </c>
      <c r="D108" s="100"/>
      <c r="E108" s="100"/>
      <c r="F108" s="100"/>
      <c r="G108" s="100"/>
      <c r="H108" s="100"/>
      <c r="I108" s="100"/>
      <c r="J108" s="100"/>
      <c r="K108" s="119"/>
    </row>
    <row r="109" spans="2:24" x14ac:dyDescent="0.25">
      <c r="B109" s="9">
        <v>7</v>
      </c>
      <c r="C109" s="100" t="str">
        <f>IF(W95=X95,"Gewinner Spiel um Platz 7",IF(W95&gt;X95,F95,K95))</f>
        <v>Gewinner Spiel um Platz 7</v>
      </c>
      <c r="D109" s="100"/>
      <c r="E109" s="100"/>
      <c r="F109" s="100"/>
      <c r="G109" s="100"/>
      <c r="H109" s="100"/>
      <c r="I109" s="100"/>
      <c r="J109" s="100"/>
      <c r="K109" s="119"/>
    </row>
    <row r="110" spans="2:24" x14ac:dyDescent="0.25">
      <c r="B110" s="9">
        <v>8</v>
      </c>
      <c r="C110" s="100" t="str">
        <f>IF(W95=X95,"Verlierer Spiel um Platz 7",IF(W95&gt;X95,K95,F95))</f>
        <v>Verlierer Spiel um Platz 7</v>
      </c>
      <c r="D110" s="100"/>
      <c r="E110" s="100"/>
      <c r="F110" s="100"/>
      <c r="G110" s="100"/>
      <c r="H110" s="100"/>
      <c r="I110" s="100"/>
      <c r="J110" s="100"/>
      <c r="K110" s="119"/>
    </row>
    <row r="111" spans="2:24" x14ac:dyDescent="0.25">
      <c r="B111" s="9">
        <v>9</v>
      </c>
      <c r="C111" s="100" t="str">
        <f>IF(W94=X94,"Gewinner Spiel um Platz 9",IF(W94&gt;X94,F94,K94))</f>
        <v>Gewinner Spiel um Platz 9</v>
      </c>
      <c r="D111" s="100"/>
      <c r="E111" s="100"/>
      <c r="F111" s="100"/>
      <c r="G111" s="100"/>
      <c r="H111" s="100"/>
      <c r="I111" s="100"/>
      <c r="J111" s="100"/>
      <c r="K111" s="119"/>
    </row>
    <row r="112" spans="2:24" x14ac:dyDescent="0.25">
      <c r="B112" s="9">
        <v>10</v>
      </c>
      <c r="C112" s="100" t="str">
        <f>IF(W94=X94,"Verlierer Spiel um Platz 9",IF(W94&gt;X94,K94,F94))</f>
        <v>Verlierer Spiel um Platz 9</v>
      </c>
      <c r="D112" s="100"/>
      <c r="E112" s="100"/>
      <c r="F112" s="100"/>
      <c r="G112" s="100"/>
      <c r="H112" s="100"/>
      <c r="I112" s="100"/>
      <c r="J112" s="100"/>
      <c r="K112" s="119"/>
    </row>
    <row r="113" spans="2:11" x14ac:dyDescent="0.25">
      <c r="B113" s="9">
        <v>11</v>
      </c>
      <c r="C113" s="100" t="str">
        <f>IF(W93=X93,"Gewinner Spiel um Platz 11",IF(W93&gt;X93,F93,K93))</f>
        <v>Gewinner Spiel um Platz 11</v>
      </c>
      <c r="D113" s="100"/>
      <c r="E113" s="100"/>
      <c r="F113" s="100"/>
      <c r="G113" s="100"/>
      <c r="H113" s="100"/>
      <c r="I113" s="100"/>
      <c r="J113" s="100"/>
      <c r="K113" s="119"/>
    </row>
    <row r="114" spans="2:11" x14ac:dyDescent="0.25">
      <c r="B114" s="9">
        <v>12</v>
      </c>
      <c r="C114" s="100" t="str">
        <f>IF(W93=X93,"Verlierer Spiel um Platz 11",IF(W93&gt;X93,K93,F93))</f>
        <v>Verlierer Spiel um Platz 11</v>
      </c>
      <c r="D114" s="100"/>
      <c r="E114" s="100"/>
      <c r="F114" s="100"/>
      <c r="G114" s="100"/>
      <c r="H114" s="100"/>
      <c r="I114" s="100"/>
      <c r="J114" s="100"/>
      <c r="K114" s="119"/>
    </row>
    <row r="124" spans="2:11" hidden="1" x14ac:dyDescent="0.25">
      <c r="B124" t="s">
        <v>61</v>
      </c>
      <c r="C124" t="s">
        <v>67</v>
      </c>
    </row>
    <row r="125" spans="2:11" hidden="1" x14ac:dyDescent="0.25">
      <c r="B125" t="s">
        <v>62</v>
      </c>
      <c r="C125" t="s">
        <v>68</v>
      </c>
    </row>
    <row r="126" spans="2:11" hidden="1" x14ac:dyDescent="0.25">
      <c r="B126" t="s">
        <v>63</v>
      </c>
      <c r="C126" t="s">
        <v>69</v>
      </c>
    </row>
    <row r="127" spans="2:11" hidden="1" x14ac:dyDescent="0.25">
      <c r="B127" t="s">
        <v>64</v>
      </c>
      <c r="C127" t="s">
        <v>70</v>
      </c>
    </row>
    <row r="128" spans="2:11" hidden="1" x14ac:dyDescent="0.25">
      <c r="B128" t="s">
        <v>65</v>
      </c>
      <c r="C128" t="s">
        <v>71</v>
      </c>
    </row>
    <row r="129" spans="2:3" hidden="1" x14ac:dyDescent="0.25">
      <c r="B129" t="s">
        <v>66</v>
      </c>
      <c r="C129" t="s">
        <v>72</v>
      </c>
    </row>
    <row r="130" spans="2:3" hidden="1" x14ac:dyDescent="0.25">
      <c r="B130" t="s">
        <v>76</v>
      </c>
      <c r="C130" t="s">
        <v>82</v>
      </c>
    </row>
    <row r="131" spans="2:3" hidden="1" x14ac:dyDescent="0.25">
      <c r="B131" t="s">
        <v>77</v>
      </c>
      <c r="C131" t="s">
        <v>83</v>
      </c>
    </row>
    <row r="132" spans="2:3" hidden="1" x14ac:dyDescent="0.25">
      <c r="B132" t="s">
        <v>78</v>
      </c>
      <c r="C132" t="s">
        <v>84</v>
      </c>
    </row>
    <row r="133" spans="2:3" hidden="1" x14ac:dyDescent="0.25">
      <c r="B133" t="s">
        <v>79</v>
      </c>
      <c r="C133" t="s">
        <v>85</v>
      </c>
    </row>
    <row r="134" spans="2:3" hidden="1" x14ac:dyDescent="0.25">
      <c r="B134" t="s">
        <v>80</v>
      </c>
      <c r="C134" t="s">
        <v>86</v>
      </c>
    </row>
    <row r="135" spans="2:3" hidden="1" x14ac:dyDescent="0.25">
      <c r="B135" t="s">
        <v>81</v>
      </c>
      <c r="C135" t="s">
        <v>87</v>
      </c>
    </row>
    <row r="136" spans="2:3" hidden="1" x14ac:dyDescent="0.25"/>
    <row r="137" spans="2:3" hidden="1" x14ac:dyDescent="0.25"/>
    <row r="138" spans="2:3" hidden="1" x14ac:dyDescent="0.25"/>
    <row r="139" spans="2:3" hidden="1" x14ac:dyDescent="0.25"/>
  </sheetData>
  <mergeCells count="153">
    <mergeCell ref="C114:K114"/>
    <mergeCell ref="C108:K108"/>
    <mergeCell ref="C109:K109"/>
    <mergeCell ref="C110:K110"/>
    <mergeCell ref="C111:K111"/>
    <mergeCell ref="C112:K112"/>
    <mergeCell ref="C113:K113"/>
    <mergeCell ref="B101:K101"/>
    <mergeCell ref="C103:K103"/>
    <mergeCell ref="C104:K104"/>
    <mergeCell ref="C105:K105"/>
    <mergeCell ref="C106:K106"/>
    <mergeCell ref="C107:K107"/>
    <mergeCell ref="F96:I96"/>
    <mergeCell ref="K96:L96"/>
    <mergeCell ref="F97:I97"/>
    <mergeCell ref="K97:L97"/>
    <mergeCell ref="F98:I98"/>
    <mergeCell ref="K98:L98"/>
    <mergeCell ref="F93:I93"/>
    <mergeCell ref="K93:L93"/>
    <mergeCell ref="F94:I94"/>
    <mergeCell ref="K94:L94"/>
    <mergeCell ref="F95:I95"/>
    <mergeCell ref="K95:L95"/>
    <mergeCell ref="F90:I90"/>
    <mergeCell ref="K90:L90"/>
    <mergeCell ref="F91:I91"/>
    <mergeCell ref="K91:L91"/>
    <mergeCell ref="F92:I92"/>
    <mergeCell ref="K92:L92"/>
    <mergeCell ref="F87:I87"/>
    <mergeCell ref="K87:L87"/>
    <mergeCell ref="F88:I88"/>
    <mergeCell ref="K88:L88"/>
    <mergeCell ref="F89:I89"/>
    <mergeCell ref="K89:L89"/>
    <mergeCell ref="B80:U80"/>
    <mergeCell ref="B82:U82"/>
    <mergeCell ref="M85:O86"/>
    <mergeCell ref="P85:R86"/>
    <mergeCell ref="S85:U86"/>
    <mergeCell ref="D86:E86"/>
    <mergeCell ref="F86:I86"/>
    <mergeCell ref="C38:E38"/>
    <mergeCell ref="J38:K38"/>
    <mergeCell ref="C76:E76"/>
    <mergeCell ref="J76:K76"/>
    <mergeCell ref="C39:E39"/>
    <mergeCell ref="J39:K39"/>
    <mergeCell ref="C77:E77"/>
    <mergeCell ref="J77:K77"/>
    <mergeCell ref="M52:O53"/>
    <mergeCell ref="P52:R53"/>
    <mergeCell ref="C74:E74"/>
    <mergeCell ref="J74:K74"/>
    <mergeCell ref="C37:E37"/>
    <mergeCell ref="J37:K37"/>
    <mergeCell ref="C75:E75"/>
    <mergeCell ref="J75:K75"/>
    <mergeCell ref="C34:E34"/>
    <mergeCell ref="J34:K34"/>
    <mergeCell ref="C72:E72"/>
    <mergeCell ref="J72:K72"/>
    <mergeCell ref="C35:E35"/>
    <mergeCell ref="J35:K35"/>
    <mergeCell ref="C73:E73"/>
    <mergeCell ref="J73:K73"/>
    <mergeCell ref="F68:I68"/>
    <mergeCell ref="K68:L68"/>
    <mergeCell ref="J33:K33"/>
    <mergeCell ref="J71:K71"/>
    <mergeCell ref="F28:I28"/>
    <mergeCell ref="K28:L28"/>
    <mergeCell ref="F66:I66"/>
    <mergeCell ref="K66:L66"/>
    <mergeCell ref="F29:I29"/>
    <mergeCell ref="K29:L29"/>
    <mergeCell ref="F67:I67"/>
    <mergeCell ref="K67:L67"/>
    <mergeCell ref="J36:K36"/>
    <mergeCell ref="F64:I64"/>
    <mergeCell ref="K64:L64"/>
    <mergeCell ref="F27:I27"/>
    <mergeCell ref="K27:L27"/>
    <mergeCell ref="F65:I65"/>
    <mergeCell ref="K65:L65"/>
    <mergeCell ref="F24:I24"/>
    <mergeCell ref="K24:L24"/>
    <mergeCell ref="F62:I62"/>
    <mergeCell ref="K62:L62"/>
    <mergeCell ref="F25:I25"/>
    <mergeCell ref="K25:L25"/>
    <mergeCell ref="F63:I63"/>
    <mergeCell ref="K63:L63"/>
    <mergeCell ref="F30:I30"/>
    <mergeCell ref="K30:L30"/>
    <mergeCell ref="F60:I60"/>
    <mergeCell ref="K60:L60"/>
    <mergeCell ref="F23:I23"/>
    <mergeCell ref="K23:L23"/>
    <mergeCell ref="F61:I61"/>
    <mergeCell ref="K61:L61"/>
    <mergeCell ref="F20:I20"/>
    <mergeCell ref="K20:L20"/>
    <mergeCell ref="F58:I58"/>
    <mergeCell ref="K58:L58"/>
    <mergeCell ref="F21:I21"/>
    <mergeCell ref="K21:L21"/>
    <mergeCell ref="F59:I59"/>
    <mergeCell ref="K59:L59"/>
    <mergeCell ref="F26:I26"/>
    <mergeCell ref="K26:L26"/>
    <mergeCell ref="F56:I56"/>
    <mergeCell ref="K56:L56"/>
    <mergeCell ref="F19:I19"/>
    <mergeCell ref="K19:L19"/>
    <mergeCell ref="F57:I57"/>
    <mergeCell ref="K57:L57"/>
    <mergeCell ref="F16:I16"/>
    <mergeCell ref="K16:L16"/>
    <mergeCell ref="F54:I54"/>
    <mergeCell ref="K54:L54"/>
    <mergeCell ref="F17:I17"/>
    <mergeCell ref="K17:L17"/>
    <mergeCell ref="F55:I55"/>
    <mergeCell ref="K55:L55"/>
    <mergeCell ref="F22:I22"/>
    <mergeCell ref="K22:L22"/>
    <mergeCell ref="D53:E53"/>
    <mergeCell ref="F53:I53"/>
    <mergeCell ref="C11:E11"/>
    <mergeCell ref="C49:E49"/>
    <mergeCell ref="C12:E12"/>
    <mergeCell ref="C50:E50"/>
    <mergeCell ref="M14:O15"/>
    <mergeCell ref="F18:I18"/>
    <mergeCell ref="K18:L18"/>
    <mergeCell ref="C36:E36"/>
    <mergeCell ref="P14:R15"/>
    <mergeCell ref="C8:E8"/>
    <mergeCell ref="C46:E46"/>
    <mergeCell ref="C9:E9"/>
    <mergeCell ref="C47:E47"/>
    <mergeCell ref="C10:E10"/>
    <mergeCell ref="C48:E48"/>
    <mergeCell ref="B2:U2"/>
    <mergeCell ref="B4:U4"/>
    <mergeCell ref="B42:U42"/>
    <mergeCell ref="C7:E7"/>
    <mergeCell ref="C45:E45"/>
    <mergeCell ref="D15:E15"/>
    <mergeCell ref="F15:I15"/>
  </mergeCells>
  <conditionalFormatting sqref="G34:G39">
    <cfRule type="duplicateValues" dxfId="15" priority="2"/>
  </conditionalFormatting>
  <conditionalFormatting sqref="G72:G77">
    <cfRule type="duplicateValues" dxfId="14" priority="1"/>
  </conditionalFormatting>
  <dataValidations count="2">
    <dataValidation type="list" allowBlank="1" showInputMessage="1" showErrorMessage="1" sqref="C72:E77" xr:uid="{840689CA-8D5E-47F8-9410-75163C46B16F}">
      <formula1>$C$45:$C$50</formula1>
    </dataValidation>
    <dataValidation type="list" allowBlank="1" showInputMessage="1" showErrorMessage="1" sqref="C34:C39" xr:uid="{9EACA396-AADC-4107-8648-2E835CCAB82E}">
      <formula1>$C$7:$C$12</formula1>
    </dataValidation>
  </dataValidations>
  <pageMargins left="0.70866141732283472" right="0.70866141732283472" top="0.78740157480314965" bottom="0.78740157480314965" header="0.31496062992125984" footer="0.31496062992125984"/>
  <pageSetup paperSize="9" scale="63" pageOrder="overThenDown" orientation="portrait" r:id="rId1"/>
  <rowBreaks count="2" manualBreakCount="2">
    <brk id="40" max="23" man="1"/>
    <brk id="78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4E6C6-0B23-44C9-9E6E-CA78610C2536}">
  <dimension ref="B2:X139"/>
  <sheetViews>
    <sheetView showGridLines="0" view="pageBreakPreview" zoomScale="60" zoomScaleNormal="100" workbookViewId="0">
      <selection activeCell="AA82" sqref="AA82"/>
    </sheetView>
  </sheetViews>
  <sheetFormatPr baseColWidth="10" defaultRowHeight="15" x14ac:dyDescent="0.25"/>
  <cols>
    <col min="1" max="1" width="3.7109375" customWidth="1"/>
    <col min="2" max="2" width="7.140625" customWidth="1"/>
    <col min="3" max="3" width="9.85546875" customWidth="1"/>
    <col min="4" max="5" width="8.5703125" customWidth="1"/>
    <col min="6" max="9" width="6.42578125" customWidth="1"/>
    <col min="10" max="10" width="1.7109375" customWidth="1"/>
    <col min="11" max="11" width="4.7109375" customWidth="1"/>
    <col min="12" max="12" width="21" customWidth="1"/>
    <col min="13" max="13" width="6.42578125" customWidth="1"/>
    <col min="14" max="14" width="1.7109375" customWidth="1"/>
    <col min="15" max="16" width="6.42578125" customWidth="1"/>
    <col min="17" max="17" width="1.7109375" customWidth="1"/>
    <col min="18" max="19" width="6.42578125" customWidth="1"/>
    <col min="20" max="20" width="1.7109375" customWidth="1"/>
    <col min="21" max="21" width="6.42578125" customWidth="1"/>
    <col min="22" max="22" width="3.7109375" customWidth="1"/>
    <col min="23" max="24" width="7.42578125" hidden="1" customWidth="1"/>
    <col min="25" max="25" width="3.7109375" customWidth="1"/>
  </cols>
  <sheetData>
    <row r="2" spans="2:21" ht="20.25" customHeight="1" x14ac:dyDescent="0.25">
      <c r="B2" s="101" t="s">
        <v>0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3"/>
    </row>
    <row r="3" spans="2:21" ht="3.75" customHeight="1" x14ac:dyDescent="0.25"/>
    <row r="4" spans="2:21" ht="18.75" customHeight="1" x14ac:dyDescent="0.25">
      <c r="B4" s="104" t="s">
        <v>2</v>
      </c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6"/>
    </row>
    <row r="6" spans="2:21" x14ac:dyDescent="0.25">
      <c r="B6" s="13" t="s">
        <v>2</v>
      </c>
      <c r="C6" s="7"/>
      <c r="D6" s="7"/>
      <c r="E6" s="7"/>
      <c r="F6" s="8"/>
      <c r="G6" s="1"/>
      <c r="H6" s="1"/>
    </row>
    <row r="7" spans="2:21" x14ac:dyDescent="0.25">
      <c r="B7" s="11" t="s">
        <v>67</v>
      </c>
      <c r="C7" s="107" t="s">
        <v>61</v>
      </c>
      <c r="D7" s="107"/>
      <c r="E7" s="107"/>
      <c r="F7" s="12" t="str">
        <f t="shared" ref="F7:F12" si="0">B7</f>
        <v>REI</v>
      </c>
    </row>
    <row r="8" spans="2:21" x14ac:dyDescent="0.25">
      <c r="B8" s="9" t="s">
        <v>68</v>
      </c>
      <c r="C8" s="100" t="s">
        <v>62</v>
      </c>
      <c r="D8" s="100"/>
      <c r="E8" s="100"/>
      <c r="F8" s="10" t="str">
        <f t="shared" si="0"/>
        <v>HAW</v>
      </c>
    </row>
    <row r="9" spans="2:21" x14ac:dyDescent="0.25">
      <c r="B9" s="9" t="s">
        <v>69</v>
      </c>
      <c r="C9" s="100" t="s">
        <v>63</v>
      </c>
      <c r="D9" s="100"/>
      <c r="E9" s="100"/>
      <c r="F9" s="10" t="str">
        <f t="shared" si="0"/>
        <v>DMP</v>
      </c>
    </row>
    <row r="10" spans="2:21" x14ac:dyDescent="0.25">
      <c r="B10" s="9" t="s">
        <v>70</v>
      </c>
      <c r="C10" s="100" t="s">
        <v>64</v>
      </c>
      <c r="D10" s="100"/>
      <c r="E10" s="100"/>
      <c r="F10" s="10" t="str">
        <f t="shared" si="0"/>
        <v>FPT</v>
      </c>
    </row>
    <row r="11" spans="2:21" x14ac:dyDescent="0.25">
      <c r="B11" s="9" t="s">
        <v>71</v>
      </c>
      <c r="C11" s="100" t="s">
        <v>65</v>
      </c>
      <c r="D11" s="100"/>
      <c r="E11" s="100"/>
      <c r="F11" s="10" t="str">
        <f t="shared" si="0"/>
        <v>ELM</v>
      </c>
    </row>
    <row r="12" spans="2:21" x14ac:dyDescent="0.25">
      <c r="B12" s="9" t="s">
        <v>72</v>
      </c>
      <c r="C12" s="100" t="s">
        <v>66</v>
      </c>
      <c r="D12" s="100"/>
      <c r="E12" s="100"/>
      <c r="F12" s="10" t="str">
        <f t="shared" si="0"/>
        <v>MUH</v>
      </c>
    </row>
    <row r="14" spans="2:21" x14ac:dyDescent="0.25">
      <c r="B14" s="16" t="s">
        <v>73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96" t="s">
        <v>3</v>
      </c>
      <c r="N14" s="96"/>
      <c r="O14" s="96"/>
      <c r="P14" s="96" t="s">
        <v>50</v>
      </c>
      <c r="Q14" s="96"/>
      <c r="R14" s="97"/>
    </row>
    <row r="15" spans="2:21" s="5" customFormat="1" x14ac:dyDescent="0.25">
      <c r="B15" s="17" t="s">
        <v>4</v>
      </c>
      <c r="C15" s="18" t="s">
        <v>5</v>
      </c>
      <c r="D15" s="108" t="s">
        <v>6</v>
      </c>
      <c r="E15" s="108"/>
      <c r="F15" s="109" t="s">
        <v>7</v>
      </c>
      <c r="G15" s="109"/>
      <c r="H15" s="109"/>
      <c r="I15" s="109"/>
      <c r="J15" s="19"/>
      <c r="K15" s="19" t="s">
        <v>8</v>
      </c>
      <c r="L15" s="19"/>
      <c r="M15" s="98"/>
      <c r="N15" s="98"/>
      <c r="O15" s="98"/>
      <c r="P15" s="98" t="s">
        <v>50</v>
      </c>
      <c r="Q15" s="98"/>
      <c r="R15" s="99"/>
    </row>
    <row r="16" spans="2:21" s="5" customFormat="1" x14ac:dyDescent="0.25">
      <c r="B16" s="32">
        <v>0.41666666666666669</v>
      </c>
      <c r="C16" s="31" t="s">
        <v>9</v>
      </c>
      <c r="D16" s="31" t="str">
        <f>VLOOKUP(F30,$C$7:$F$12,4,FALSE)</f>
        <v>REI</v>
      </c>
      <c r="E16" s="31" t="str">
        <f>VLOOKUP(K30,$C$7:$F$12,4,FALSE)</f>
        <v>HAW</v>
      </c>
      <c r="F16" s="111" t="str">
        <f>DMP</f>
        <v>Dampfnudel</v>
      </c>
      <c r="G16" s="111"/>
      <c r="H16" s="111"/>
      <c r="I16" s="111"/>
      <c r="J16" s="33" t="s">
        <v>24</v>
      </c>
      <c r="K16" s="111" t="str">
        <f>MUH</f>
        <v>MUH-Bande Jena</v>
      </c>
      <c r="L16" s="111"/>
      <c r="M16" s="88"/>
      <c r="N16" s="31" t="s">
        <v>24</v>
      </c>
      <c r="O16" s="90"/>
      <c r="P16" s="91"/>
      <c r="Q16" s="23" t="s">
        <v>24</v>
      </c>
      <c r="R16" s="94"/>
    </row>
    <row r="17" spans="2:18" s="5" customFormat="1" x14ac:dyDescent="0.25">
      <c r="B17" s="22">
        <f>B16+TIME(0,30,0)</f>
        <v>0.4375</v>
      </c>
      <c r="C17" s="21" t="s">
        <v>10</v>
      </c>
      <c r="D17" s="21" t="str">
        <f>VLOOKUP(F16,$C$7:$F$12,4,FALSE)</f>
        <v>DMP</v>
      </c>
      <c r="E17" s="21" t="str">
        <f>VLOOKUP(K16,$C$7:$F$12,4,FALSE)</f>
        <v>MUH</v>
      </c>
      <c r="F17" s="110" t="str">
        <f>HAW</f>
        <v>Hockey Hawks</v>
      </c>
      <c r="G17" s="110"/>
      <c r="H17" s="110"/>
      <c r="I17" s="110"/>
      <c r="J17" s="20" t="s">
        <v>24</v>
      </c>
      <c r="K17" s="110" t="str">
        <f>ELM</f>
        <v>Einradhockey Elmshorn</v>
      </c>
      <c r="L17" s="110"/>
      <c r="M17" s="89"/>
      <c r="N17" s="21" t="s">
        <v>24</v>
      </c>
      <c r="O17" s="92"/>
      <c r="P17" s="91"/>
      <c r="Q17" s="23" t="s">
        <v>24</v>
      </c>
      <c r="R17" s="94"/>
    </row>
    <row r="18" spans="2:18" s="5" customFormat="1" x14ac:dyDescent="0.25">
      <c r="B18" s="22">
        <f t="shared" ref="B18:B30" si="1">B17+TIME(0,30,0)</f>
        <v>0.45833333333333331</v>
      </c>
      <c r="C18" s="21" t="s">
        <v>11</v>
      </c>
      <c r="D18" s="21" t="str">
        <f t="shared" ref="D18:D30" si="2">VLOOKUP(F17,$C$7:$F$12,4,FALSE)</f>
        <v>HAW</v>
      </c>
      <c r="E18" s="21" t="str">
        <f t="shared" ref="E18:E30" si="3">VLOOKUP(K17,$C$7:$F$12,4,FALSE)</f>
        <v>ELM</v>
      </c>
      <c r="F18" s="110" t="str">
        <f>REI</f>
        <v>BTC Heisse Reifen</v>
      </c>
      <c r="G18" s="110"/>
      <c r="H18" s="110"/>
      <c r="I18" s="110"/>
      <c r="J18" s="20" t="s">
        <v>24</v>
      </c>
      <c r="K18" s="110" t="str">
        <f>FPT</f>
        <v>FunPowerTeam</v>
      </c>
      <c r="L18" s="110"/>
      <c r="M18" s="89"/>
      <c r="N18" s="21" t="s">
        <v>24</v>
      </c>
      <c r="O18" s="92"/>
      <c r="P18" s="91"/>
      <c r="Q18" s="23" t="s">
        <v>24</v>
      </c>
      <c r="R18" s="94"/>
    </row>
    <row r="19" spans="2:18" s="5" customFormat="1" x14ac:dyDescent="0.25">
      <c r="B19" s="22">
        <f t="shared" si="1"/>
        <v>0.47916666666666663</v>
      </c>
      <c r="C19" s="21" t="s">
        <v>12</v>
      </c>
      <c r="D19" s="21" t="str">
        <f t="shared" si="2"/>
        <v>REI</v>
      </c>
      <c r="E19" s="21" t="str">
        <f t="shared" si="3"/>
        <v>FPT</v>
      </c>
      <c r="F19" s="110" t="str">
        <f>HAW</f>
        <v>Hockey Hawks</v>
      </c>
      <c r="G19" s="110"/>
      <c r="H19" s="110"/>
      <c r="I19" s="110"/>
      <c r="J19" s="20" t="s">
        <v>24</v>
      </c>
      <c r="K19" s="110" t="str">
        <f>DMP</f>
        <v>Dampfnudel</v>
      </c>
      <c r="L19" s="110"/>
      <c r="M19" s="89"/>
      <c r="N19" s="21" t="s">
        <v>24</v>
      </c>
      <c r="O19" s="92"/>
      <c r="P19" s="91"/>
      <c r="Q19" s="23" t="s">
        <v>24</v>
      </c>
      <c r="R19" s="94"/>
    </row>
    <row r="20" spans="2:18" s="5" customFormat="1" x14ac:dyDescent="0.25">
      <c r="B20" s="22">
        <f t="shared" si="1"/>
        <v>0.49999999999999994</v>
      </c>
      <c r="C20" s="21" t="s">
        <v>13</v>
      </c>
      <c r="D20" s="21" t="str">
        <f t="shared" si="2"/>
        <v>HAW</v>
      </c>
      <c r="E20" s="21" t="str">
        <f t="shared" si="3"/>
        <v>DMP</v>
      </c>
      <c r="F20" s="110" t="str">
        <f>FPT</f>
        <v>FunPowerTeam</v>
      </c>
      <c r="G20" s="110"/>
      <c r="H20" s="110"/>
      <c r="I20" s="110"/>
      <c r="J20" s="20" t="s">
        <v>24</v>
      </c>
      <c r="K20" s="110" t="str">
        <f>MUH</f>
        <v>MUH-Bande Jena</v>
      </c>
      <c r="L20" s="110"/>
      <c r="M20" s="89"/>
      <c r="N20" s="21" t="s">
        <v>24</v>
      </c>
      <c r="O20" s="92"/>
      <c r="P20" s="91"/>
      <c r="Q20" s="23" t="s">
        <v>24</v>
      </c>
      <c r="R20" s="94"/>
    </row>
    <row r="21" spans="2:18" s="5" customFormat="1" x14ac:dyDescent="0.25">
      <c r="B21" s="22">
        <f t="shared" si="1"/>
        <v>0.52083333333333326</v>
      </c>
      <c r="C21" s="21" t="s">
        <v>14</v>
      </c>
      <c r="D21" s="21" t="str">
        <f t="shared" si="2"/>
        <v>FPT</v>
      </c>
      <c r="E21" s="21" t="str">
        <f t="shared" si="3"/>
        <v>MUH</v>
      </c>
      <c r="F21" s="110" t="str">
        <f>REI</f>
        <v>BTC Heisse Reifen</v>
      </c>
      <c r="G21" s="110"/>
      <c r="H21" s="110"/>
      <c r="I21" s="110"/>
      <c r="J21" s="20" t="s">
        <v>24</v>
      </c>
      <c r="K21" s="110" t="str">
        <f>ELM</f>
        <v>Einradhockey Elmshorn</v>
      </c>
      <c r="L21" s="110"/>
      <c r="M21" s="89"/>
      <c r="N21" s="21" t="s">
        <v>24</v>
      </c>
      <c r="O21" s="92"/>
      <c r="P21" s="91"/>
      <c r="Q21" s="23" t="s">
        <v>24</v>
      </c>
      <c r="R21" s="94"/>
    </row>
    <row r="22" spans="2:18" s="5" customFormat="1" x14ac:dyDescent="0.25">
      <c r="B22" s="22">
        <f t="shared" si="1"/>
        <v>0.54166666666666663</v>
      </c>
      <c r="C22" s="21" t="s">
        <v>15</v>
      </c>
      <c r="D22" s="21" t="str">
        <f t="shared" si="2"/>
        <v>REI</v>
      </c>
      <c r="E22" s="21" t="str">
        <f t="shared" si="3"/>
        <v>ELM</v>
      </c>
      <c r="F22" s="110" t="str">
        <f>HAW</f>
        <v>Hockey Hawks</v>
      </c>
      <c r="G22" s="110"/>
      <c r="H22" s="110"/>
      <c r="I22" s="110"/>
      <c r="J22" s="20" t="s">
        <v>24</v>
      </c>
      <c r="K22" s="110" t="str">
        <f>FPT</f>
        <v>FunPowerTeam</v>
      </c>
      <c r="L22" s="110"/>
      <c r="M22" s="89"/>
      <c r="N22" s="21" t="s">
        <v>24</v>
      </c>
      <c r="O22" s="92"/>
      <c r="P22" s="91"/>
      <c r="Q22" s="23" t="s">
        <v>24</v>
      </c>
      <c r="R22" s="94"/>
    </row>
    <row r="23" spans="2:18" s="5" customFormat="1" x14ac:dyDescent="0.25">
      <c r="B23" s="22">
        <f t="shared" si="1"/>
        <v>0.5625</v>
      </c>
      <c r="C23" s="21" t="s">
        <v>16</v>
      </c>
      <c r="D23" s="21" t="str">
        <f t="shared" si="2"/>
        <v>HAW</v>
      </c>
      <c r="E23" s="21" t="str">
        <f t="shared" si="3"/>
        <v>FPT</v>
      </c>
      <c r="F23" s="110" t="str">
        <f>DMP</f>
        <v>Dampfnudel</v>
      </c>
      <c r="G23" s="110"/>
      <c r="H23" s="110"/>
      <c r="I23" s="110"/>
      <c r="J23" s="20" t="s">
        <v>24</v>
      </c>
      <c r="K23" s="110" t="str">
        <f>ELM</f>
        <v>Einradhockey Elmshorn</v>
      </c>
      <c r="L23" s="110"/>
      <c r="M23" s="89"/>
      <c r="N23" s="21" t="s">
        <v>24</v>
      </c>
      <c r="O23" s="92"/>
      <c r="P23" s="91"/>
      <c r="Q23" s="23" t="s">
        <v>24</v>
      </c>
      <c r="R23" s="94"/>
    </row>
    <row r="24" spans="2:18" s="5" customFormat="1" x14ac:dyDescent="0.25">
      <c r="B24" s="22">
        <f t="shared" si="1"/>
        <v>0.58333333333333337</v>
      </c>
      <c r="C24" s="21" t="s">
        <v>17</v>
      </c>
      <c r="D24" s="21" t="str">
        <f t="shared" si="2"/>
        <v>DMP</v>
      </c>
      <c r="E24" s="21" t="str">
        <f t="shared" si="3"/>
        <v>ELM</v>
      </c>
      <c r="F24" s="110" t="str">
        <f>REI</f>
        <v>BTC Heisse Reifen</v>
      </c>
      <c r="G24" s="110"/>
      <c r="H24" s="110"/>
      <c r="I24" s="110"/>
      <c r="J24" s="20" t="s">
        <v>24</v>
      </c>
      <c r="K24" s="110" t="str">
        <f>MUH</f>
        <v>MUH-Bande Jena</v>
      </c>
      <c r="L24" s="110"/>
      <c r="M24" s="89"/>
      <c r="N24" s="21" t="s">
        <v>24</v>
      </c>
      <c r="O24" s="92"/>
      <c r="P24" s="91"/>
      <c r="Q24" s="23" t="s">
        <v>24</v>
      </c>
      <c r="R24" s="94"/>
    </row>
    <row r="25" spans="2:18" s="5" customFormat="1" x14ac:dyDescent="0.25">
      <c r="B25" s="22">
        <f t="shared" si="1"/>
        <v>0.60416666666666674</v>
      </c>
      <c r="C25" s="21" t="s">
        <v>18</v>
      </c>
      <c r="D25" s="21" t="str">
        <f t="shared" si="2"/>
        <v>REI</v>
      </c>
      <c r="E25" s="21" t="str">
        <f t="shared" si="3"/>
        <v>MUH</v>
      </c>
      <c r="F25" s="110" t="str">
        <f>FPT</f>
        <v>FunPowerTeam</v>
      </c>
      <c r="G25" s="110"/>
      <c r="H25" s="110"/>
      <c r="I25" s="110"/>
      <c r="J25" s="20" t="s">
        <v>24</v>
      </c>
      <c r="K25" s="110" t="str">
        <f>ELM</f>
        <v>Einradhockey Elmshorn</v>
      </c>
      <c r="L25" s="110"/>
      <c r="M25" s="89"/>
      <c r="N25" s="21" t="s">
        <v>24</v>
      </c>
      <c r="O25" s="92"/>
      <c r="P25" s="91"/>
      <c r="Q25" s="23" t="s">
        <v>24</v>
      </c>
      <c r="R25" s="94"/>
    </row>
    <row r="26" spans="2:18" s="5" customFormat="1" x14ac:dyDescent="0.25">
      <c r="B26" s="22">
        <f t="shared" si="1"/>
        <v>0.62500000000000011</v>
      </c>
      <c r="C26" s="21" t="s">
        <v>19</v>
      </c>
      <c r="D26" s="21" t="str">
        <f t="shared" si="2"/>
        <v>FPT</v>
      </c>
      <c r="E26" s="21" t="str">
        <f t="shared" si="3"/>
        <v>ELM</v>
      </c>
      <c r="F26" s="110" t="str">
        <f>HAW</f>
        <v>Hockey Hawks</v>
      </c>
      <c r="G26" s="110"/>
      <c r="H26" s="110"/>
      <c r="I26" s="110"/>
      <c r="J26" s="20" t="s">
        <v>24</v>
      </c>
      <c r="K26" s="110" t="str">
        <f>MUH</f>
        <v>MUH-Bande Jena</v>
      </c>
      <c r="L26" s="110"/>
      <c r="M26" s="89"/>
      <c r="N26" s="21" t="s">
        <v>24</v>
      </c>
      <c r="O26" s="92"/>
      <c r="P26" s="91"/>
      <c r="Q26" s="23" t="s">
        <v>24</v>
      </c>
      <c r="R26" s="94"/>
    </row>
    <row r="27" spans="2:18" s="5" customFormat="1" x14ac:dyDescent="0.25">
      <c r="B27" s="22">
        <f t="shared" si="1"/>
        <v>0.64583333333333348</v>
      </c>
      <c r="C27" s="21" t="s">
        <v>20</v>
      </c>
      <c r="D27" s="21" t="str">
        <f t="shared" si="2"/>
        <v>HAW</v>
      </c>
      <c r="E27" s="21" t="str">
        <f t="shared" si="3"/>
        <v>MUH</v>
      </c>
      <c r="F27" s="110" t="str">
        <f>REI</f>
        <v>BTC Heisse Reifen</v>
      </c>
      <c r="G27" s="110"/>
      <c r="H27" s="110"/>
      <c r="I27" s="110"/>
      <c r="J27" s="20" t="s">
        <v>24</v>
      </c>
      <c r="K27" s="110" t="str">
        <f>DMP</f>
        <v>Dampfnudel</v>
      </c>
      <c r="L27" s="110"/>
      <c r="M27" s="89"/>
      <c r="N27" s="21" t="s">
        <v>24</v>
      </c>
      <c r="O27" s="92"/>
      <c r="P27" s="91"/>
      <c r="Q27" s="23" t="s">
        <v>24</v>
      </c>
      <c r="R27" s="94"/>
    </row>
    <row r="28" spans="2:18" s="5" customFormat="1" x14ac:dyDescent="0.25">
      <c r="B28" s="22">
        <f t="shared" si="1"/>
        <v>0.66666666666666685</v>
      </c>
      <c r="C28" s="21" t="s">
        <v>21</v>
      </c>
      <c r="D28" s="21" t="str">
        <f t="shared" si="2"/>
        <v>REI</v>
      </c>
      <c r="E28" s="21" t="str">
        <f t="shared" si="3"/>
        <v>DMP</v>
      </c>
      <c r="F28" s="110" t="str">
        <f>ELM</f>
        <v>Einradhockey Elmshorn</v>
      </c>
      <c r="G28" s="110"/>
      <c r="H28" s="110"/>
      <c r="I28" s="110"/>
      <c r="J28" s="20" t="s">
        <v>24</v>
      </c>
      <c r="K28" s="110" t="str">
        <f>MUH</f>
        <v>MUH-Bande Jena</v>
      </c>
      <c r="L28" s="110"/>
      <c r="M28" s="89"/>
      <c r="N28" s="21" t="s">
        <v>24</v>
      </c>
      <c r="O28" s="92"/>
      <c r="P28" s="91"/>
      <c r="Q28" s="23" t="s">
        <v>24</v>
      </c>
      <c r="R28" s="94"/>
    </row>
    <row r="29" spans="2:18" s="5" customFormat="1" x14ac:dyDescent="0.25">
      <c r="B29" s="22">
        <f t="shared" si="1"/>
        <v>0.68750000000000022</v>
      </c>
      <c r="C29" s="21" t="s">
        <v>22</v>
      </c>
      <c r="D29" s="21" t="str">
        <f t="shared" si="2"/>
        <v>ELM</v>
      </c>
      <c r="E29" s="21" t="str">
        <f t="shared" si="3"/>
        <v>MUH</v>
      </c>
      <c r="F29" s="110" t="str">
        <f>DMP</f>
        <v>Dampfnudel</v>
      </c>
      <c r="G29" s="110"/>
      <c r="H29" s="110"/>
      <c r="I29" s="110"/>
      <c r="J29" s="20" t="s">
        <v>24</v>
      </c>
      <c r="K29" s="110" t="str">
        <f>FPT</f>
        <v>FunPowerTeam</v>
      </c>
      <c r="L29" s="110"/>
      <c r="M29" s="89"/>
      <c r="N29" s="21" t="s">
        <v>24</v>
      </c>
      <c r="O29" s="92"/>
      <c r="P29" s="91"/>
      <c r="Q29" s="23" t="s">
        <v>24</v>
      </c>
      <c r="R29" s="94"/>
    </row>
    <row r="30" spans="2:18" s="5" customFormat="1" x14ac:dyDescent="0.25">
      <c r="B30" s="22">
        <f t="shared" si="1"/>
        <v>0.70833333333333359</v>
      </c>
      <c r="C30" s="21" t="s">
        <v>23</v>
      </c>
      <c r="D30" s="21" t="str">
        <f t="shared" si="2"/>
        <v>DMP</v>
      </c>
      <c r="E30" s="21" t="str">
        <f t="shared" si="3"/>
        <v>FPT</v>
      </c>
      <c r="F30" s="110" t="str">
        <f>REI</f>
        <v>BTC Heisse Reifen</v>
      </c>
      <c r="G30" s="110"/>
      <c r="H30" s="110"/>
      <c r="I30" s="110"/>
      <c r="J30" s="20" t="s">
        <v>24</v>
      </c>
      <c r="K30" s="110" t="str">
        <f>HAW</f>
        <v>Hockey Hawks</v>
      </c>
      <c r="L30" s="110"/>
      <c r="M30" s="89"/>
      <c r="N30" s="21" t="s">
        <v>24</v>
      </c>
      <c r="O30" s="92"/>
      <c r="P30" s="93"/>
      <c r="Q30" s="35" t="s">
        <v>24</v>
      </c>
      <c r="R30" s="95"/>
    </row>
    <row r="32" spans="2:18" x14ac:dyDescent="0.25">
      <c r="B32" s="16" t="s">
        <v>74</v>
      </c>
      <c r="C32" s="14"/>
      <c r="D32" s="14"/>
      <c r="E32" s="14"/>
      <c r="F32" s="14"/>
      <c r="G32" s="14"/>
      <c r="H32" s="14"/>
      <c r="I32" s="14"/>
      <c r="J32" s="14"/>
      <c r="K32" s="15"/>
    </row>
    <row r="33" spans="2:21" s="5" customFormat="1" x14ac:dyDescent="0.25">
      <c r="B33" s="25" t="s">
        <v>59</v>
      </c>
      <c r="C33" s="26" t="s">
        <v>33</v>
      </c>
      <c r="D33" s="27"/>
      <c r="E33" s="27"/>
      <c r="F33" s="24" t="s">
        <v>58</v>
      </c>
      <c r="G33" s="24" t="s">
        <v>53</v>
      </c>
      <c r="H33" s="24" t="s">
        <v>54</v>
      </c>
      <c r="I33" s="24" t="s">
        <v>55</v>
      </c>
      <c r="J33" s="112" t="s">
        <v>56</v>
      </c>
      <c r="K33" s="113"/>
    </row>
    <row r="34" spans="2:21" s="5" customFormat="1" x14ac:dyDescent="0.25">
      <c r="B34" s="28">
        <v>1</v>
      </c>
      <c r="C34" s="123" t="str">
        <f>VLOOKUP($B34,Rechner!$W$6:$AD$12,COLUMN(),FALSE)</f>
        <v>BTC Heisse Reifen</v>
      </c>
      <c r="D34" s="123"/>
      <c r="E34" s="123"/>
      <c r="F34" s="29">
        <f>VLOOKUP($C34,Rechner!$Y$6:$AD$12,COLUMN()-4,FALSE)</f>
        <v>0</v>
      </c>
      <c r="G34" s="29">
        <f>VLOOKUP($C34,Rechner!$Y$6:$AD$12,COLUMN()-4,FALSE)</f>
        <v>0</v>
      </c>
      <c r="H34" s="29">
        <f>VLOOKUP($C34,Rechner!$Y$6:$AD$12,COLUMN()-4,FALSE)</f>
        <v>0</v>
      </c>
      <c r="I34" s="29">
        <f>VLOOKUP($C34,Rechner!$Y$6:$AD$12,COLUMN()-4,FALSE)</f>
        <v>0</v>
      </c>
      <c r="J34" s="115">
        <f>VLOOKUP($C34,Rechner!$Y$6:$AD$12,COLUMN()-4,FALSE)</f>
        <v>0</v>
      </c>
      <c r="K34" s="116" t="e">
        <f>VLOOKUP($C34,Rechner!$Y$6:$AD$12,COLUMN()-4,FALSE)</f>
        <v>#REF!</v>
      </c>
    </row>
    <row r="35" spans="2:21" s="5" customFormat="1" x14ac:dyDescent="0.25">
      <c r="B35" s="28">
        <v>2</v>
      </c>
      <c r="C35" s="123" t="str">
        <f>VLOOKUP($B35,Rechner!$W$6:$AD$12,COLUMN(),FALSE)</f>
        <v>Hockey Hawks</v>
      </c>
      <c r="D35" s="123"/>
      <c r="E35" s="123"/>
      <c r="F35" s="29">
        <f>VLOOKUP($C35,Rechner!$Y$6:$AD$12,COLUMN()-4,FALSE)</f>
        <v>0</v>
      </c>
      <c r="G35" s="29">
        <f>VLOOKUP($C35,Rechner!$Y$6:$AD$12,COLUMN()-4,FALSE)</f>
        <v>0</v>
      </c>
      <c r="H35" s="29">
        <f>VLOOKUP($C35,Rechner!$Y$6:$AD$12,COLUMN()-4,FALSE)</f>
        <v>0</v>
      </c>
      <c r="I35" s="29">
        <f>VLOOKUP($C35,Rechner!$Y$6:$AD$12,COLUMN()-4,FALSE)</f>
        <v>0</v>
      </c>
      <c r="J35" s="115">
        <f>VLOOKUP($C35,Rechner!$Y$6:$AD$12,COLUMN()-4,FALSE)</f>
        <v>0</v>
      </c>
      <c r="K35" s="116" t="e">
        <f>VLOOKUP($C35,Rechner!$Y$6:$AD$12,COLUMN()-4,FALSE)</f>
        <v>#REF!</v>
      </c>
    </row>
    <row r="36" spans="2:21" s="5" customFormat="1" x14ac:dyDescent="0.25">
      <c r="B36" s="28">
        <v>3</v>
      </c>
      <c r="C36" s="123" t="str">
        <f>VLOOKUP($B36,Rechner!$W$6:$AD$12,COLUMN(),FALSE)</f>
        <v>Dampfnudel</v>
      </c>
      <c r="D36" s="123"/>
      <c r="E36" s="123"/>
      <c r="F36" s="29">
        <f>VLOOKUP($C36,Rechner!$Y$6:$AD$12,COLUMN()-4,FALSE)</f>
        <v>0</v>
      </c>
      <c r="G36" s="29">
        <f>VLOOKUP($C36,Rechner!$Y$6:$AD$12,COLUMN()-4,FALSE)</f>
        <v>0</v>
      </c>
      <c r="H36" s="29">
        <f>VLOOKUP($C36,Rechner!$Y$6:$AD$12,COLUMN()-4,FALSE)</f>
        <v>0</v>
      </c>
      <c r="I36" s="29">
        <f>VLOOKUP($C36,Rechner!$Y$6:$AD$12,COLUMN()-4,FALSE)</f>
        <v>0</v>
      </c>
      <c r="J36" s="115">
        <f>VLOOKUP($C36,Rechner!$Y$6:$AD$12,COLUMN()-4,FALSE)</f>
        <v>0</v>
      </c>
      <c r="K36" s="116" t="e">
        <f>VLOOKUP($C36,Rechner!$Y$6:$AD$12,COLUMN()-4,FALSE)</f>
        <v>#REF!</v>
      </c>
    </row>
    <row r="37" spans="2:21" s="5" customFormat="1" x14ac:dyDescent="0.25">
      <c r="B37" s="28">
        <v>4</v>
      </c>
      <c r="C37" s="123" t="str">
        <f>VLOOKUP($B37,Rechner!$W$6:$AD$12,COLUMN(),FALSE)</f>
        <v>FunPowerTeam</v>
      </c>
      <c r="D37" s="123"/>
      <c r="E37" s="123"/>
      <c r="F37" s="29">
        <f>VLOOKUP($C37,Rechner!$Y$6:$AD$12,COLUMN()-4,FALSE)</f>
        <v>0</v>
      </c>
      <c r="G37" s="29">
        <f>VLOOKUP($C37,Rechner!$Y$6:$AD$12,COLUMN()-4,FALSE)</f>
        <v>0</v>
      </c>
      <c r="H37" s="29">
        <f>VLOOKUP($C37,Rechner!$Y$6:$AD$12,COLUMN()-4,FALSE)</f>
        <v>0</v>
      </c>
      <c r="I37" s="29">
        <f>VLOOKUP($C37,Rechner!$Y$6:$AD$12,COLUMN()-4,FALSE)</f>
        <v>0</v>
      </c>
      <c r="J37" s="115">
        <f>VLOOKUP($C37,Rechner!$Y$6:$AD$12,COLUMN()-4,FALSE)</f>
        <v>0</v>
      </c>
      <c r="K37" s="116" t="e">
        <f>VLOOKUP($C37,Rechner!$Y$6:$AD$12,COLUMN()-4,FALSE)</f>
        <v>#REF!</v>
      </c>
    </row>
    <row r="38" spans="2:21" s="5" customFormat="1" x14ac:dyDescent="0.25">
      <c r="B38" s="28">
        <v>5</v>
      </c>
      <c r="C38" s="123" t="str">
        <f>VLOOKUP($B38,Rechner!$W$6:$AD$12,COLUMN(),FALSE)</f>
        <v>Einradhockey Elmshorn</v>
      </c>
      <c r="D38" s="123"/>
      <c r="E38" s="123"/>
      <c r="F38" s="29">
        <f>VLOOKUP($C38,Rechner!$Y$6:$AD$12,COLUMN()-4,FALSE)</f>
        <v>0</v>
      </c>
      <c r="G38" s="29">
        <f>VLOOKUP($C38,Rechner!$Y$6:$AD$12,COLUMN()-4,FALSE)</f>
        <v>0</v>
      </c>
      <c r="H38" s="29">
        <f>VLOOKUP($C38,Rechner!$Y$6:$AD$12,COLUMN()-4,FALSE)</f>
        <v>0</v>
      </c>
      <c r="I38" s="29">
        <f>VLOOKUP($C38,Rechner!$Y$6:$AD$12,COLUMN()-4,FALSE)</f>
        <v>0</v>
      </c>
      <c r="J38" s="115">
        <f>VLOOKUP($C38,Rechner!$Y$6:$AD$12,COLUMN()-4,FALSE)</f>
        <v>0</v>
      </c>
      <c r="K38" s="116" t="e">
        <f>VLOOKUP($C38,Rechner!$Y$6:$AD$12,COLUMN()-4,FALSE)</f>
        <v>#REF!</v>
      </c>
    </row>
    <row r="39" spans="2:21" s="5" customFormat="1" x14ac:dyDescent="0.25">
      <c r="B39" s="28">
        <v>6</v>
      </c>
      <c r="C39" s="123" t="str">
        <f>VLOOKUP($B39,Rechner!$W$6:$AD$12,COLUMN(),FALSE)</f>
        <v>MUH-Bande Jena</v>
      </c>
      <c r="D39" s="123"/>
      <c r="E39" s="123"/>
      <c r="F39" s="29">
        <f>VLOOKUP($C39,Rechner!$Y$6:$AD$12,COLUMN()-4,FALSE)</f>
        <v>0</v>
      </c>
      <c r="G39" s="29">
        <f>VLOOKUP($C39,Rechner!$Y$6:$AD$12,COLUMN()-4,FALSE)</f>
        <v>0</v>
      </c>
      <c r="H39" s="29">
        <f>VLOOKUP($C39,Rechner!$Y$6:$AD$12,COLUMN()-4,FALSE)</f>
        <v>0</v>
      </c>
      <c r="I39" s="29">
        <f>VLOOKUP($C39,Rechner!$Y$6:$AD$12,COLUMN()-4,FALSE)</f>
        <v>0</v>
      </c>
      <c r="J39" s="115">
        <f>VLOOKUP($C39,Rechner!$Y$6:$AD$12,COLUMN()-4,FALSE)</f>
        <v>0</v>
      </c>
      <c r="K39" s="116" t="e">
        <f>VLOOKUP($C39,Rechner!$Y$6:$AD$12,COLUMN()-4,FALSE)</f>
        <v>#REF!</v>
      </c>
    </row>
    <row r="40" spans="2:21" x14ac:dyDescent="0.25">
      <c r="B40" s="4" t="b">
        <f>Rechner!$Y$12</f>
        <v>0</v>
      </c>
      <c r="C40" s="6" t="str">
        <f>IF(B40,"Es liegen mindestens ein direkter Vergleich vor. Bitte löse diese mit Hilfe der Dropdowns.","")</f>
        <v/>
      </c>
    </row>
    <row r="42" spans="2:21" ht="18.75" customHeight="1" x14ac:dyDescent="0.25">
      <c r="B42" s="104" t="s">
        <v>75</v>
      </c>
      <c r="C42" s="105"/>
      <c r="D42" s="105"/>
      <c r="E42" s="105"/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6"/>
    </row>
    <row r="44" spans="2:21" x14ac:dyDescent="0.25">
      <c r="B44" s="13" t="s">
        <v>75</v>
      </c>
      <c r="C44" s="7"/>
      <c r="D44" s="7"/>
      <c r="E44" s="7"/>
      <c r="F44" s="8"/>
    </row>
    <row r="45" spans="2:21" x14ac:dyDescent="0.25">
      <c r="B45" s="11" t="s">
        <v>82</v>
      </c>
      <c r="C45" s="107" t="s">
        <v>76</v>
      </c>
      <c r="D45" s="107"/>
      <c r="E45" s="107"/>
      <c r="F45" s="12" t="str">
        <f t="shared" ref="F45:F50" si="4">B45</f>
        <v>ONE</v>
      </c>
    </row>
    <row r="46" spans="2:21" x14ac:dyDescent="0.25">
      <c r="B46" s="9" t="s">
        <v>83</v>
      </c>
      <c r="C46" s="100" t="s">
        <v>77</v>
      </c>
      <c r="D46" s="100"/>
      <c r="E46" s="100"/>
      <c r="F46" s="10" t="str">
        <f t="shared" si="4"/>
        <v>QRR</v>
      </c>
    </row>
    <row r="47" spans="2:21" x14ac:dyDescent="0.25">
      <c r="B47" s="9" t="s">
        <v>84</v>
      </c>
      <c r="C47" s="100" t="s">
        <v>78</v>
      </c>
      <c r="D47" s="100"/>
      <c r="E47" s="100"/>
      <c r="F47" s="10" t="str">
        <f t="shared" si="4"/>
        <v>LEG</v>
      </c>
    </row>
    <row r="48" spans="2:21" x14ac:dyDescent="0.25">
      <c r="B48" s="9" t="s">
        <v>85</v>
      </c>
      <c r="C48" s="100" t="s">
        <v>79</v>
      </c>
      <c r="D48" s="100"/>
      <c r="E48" s="100"/>
      <c r="F48" s="10" t="str">
        <f t="shared" si="4"/>
        <v>UTH</v>
      </c>
    </row>
    <row r="49" spans="2:21" x14ac:dyDescent="0.25">
      <c r="B49" s="9" t="s">
        <v>86</v>
      </c>
      <c r="C49" s="100" t="s">
        <v>80</v>
      </c>
      <c r="D49" s="100"/>
      <c r="E49" s="100"/>
      <c r="F49" s="10" t="str">
        <f t="shared" si="4"/>
        <v>TRV</v>
      </c>
    </row>
    <row r="50" spans="2:21" x14ac:dyDescent="0.25">
      <c r="B50" s="9" t="s">
        <v>87</v>
      </c>
      <c r="C50" s="100" t="s">
        <v>81</v>
      </c>
      <c r="D50" s="100"/>
      <c r="E50" s="100"/>
      <c r="F50" s="10" t="str">
        <f t="shared" si="4"/>
        <v>GST</v>
      </c>
    </row>
    <row r="52" spans="2:21" x14ac:dyDescent="0.25">
      <c r="B52" s="16" t="s">
        <v>73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96" t="s">
        <v>3</v>
      </c>
      <c r="N52" s="96"/>
      <c r="O52" s="96"/>
      <c r="P52" s="96" t="s">
        <v>50</v>
      </c>
      <c r="Q52" s="96"/>
      <c r="R52" s="97"/>
    </row>
    <row r="53" spans="2:21" x14ac:dyDescent="0.25">
      <c r="B53" s="17" t="s">
        <v>4</v>
      </c>
      <c r="C53" s="18" t="s">
        <v>5</v>
      </c>
      <c r="D53" s="108" t="s">
        <v>6</v>
      </c>
      <c r="E53" s="108"/>
      <c r="F53" s="109" t="s">
        <v>7</v>
      </c>
      <c r="G53" s="109"/>
      <c r="H53" s="109"/>
      <c r="I53" s="109"/>
      <c r="J53" s="19"/>
      <c r="K53" s="19" t="s">
        <v>8</v>
      </c>
      <c r="L53" s="19"/>
      <c r="M53" s="98"/>
      <c r="N53" s="98"/>
      <c r="O53" s="98"/>
      <c r="P53" s="98" t="s">
        <v>50</v>
      </c>
      <c r="Q53" s="98"/>
      <c r="R53" s="99"/>
      <c r="S53" s="5"/>
      <c r="T53" s="5"/>
      <c r="U53" s="5"/>
    </row>
    <row r="54" spans="2:21" x14ac:dyDescent="0.25">
      <c r="B54" s="32">
        <v>0.41666666666666669</v>
      </c>
      <c r="C54" s="31" t="s">
        <v>89</v>
      </c>
      <c r="D54" s="31" t="str">
        <f>VLOOKUP(F68,$C$45:$F$50,4,FALSE)</f>
        <v>ONE</v>
      </c>
      <c r="E54" s="31" t="str">
        <f>VLOOKUP(K68,$C$45:$F$50,4,FALSE)</f>
        <v>QRR</v>
      </c>
      <c r="F54" s="111" t="str">
        <f>LEG</f>
        <v>MJC Trier - Die Legionäre</v>
      </c>
      <c r="G54" s="111"/>
      <c r="H54" s="111"/>
      <c r="I54" s="111"/>
      <c r="J54" s="31" t="s">
        <v>24</v>
      </c>
      <c r="K54" s="111" t="str">
        <f>GST</f>
        <v>Geisterfahrer</v>
      </c>
      <c r="L54" s="111"/>
      <c r="M54" s="88"/>
      <c r="N54" s="31" t="s">
        <v>24</v>
      </c>
      <c r="O54" s="90"/>
      <c r="P54" s="91"/>
      <c r="Q54" s="23" t="s">
        <v>24</v>
      </c>
      <c r="R54" s="94"/>
      <c r="S54" s="5"/>
      <c r="T54" s="5"/>
      <c r="U54" s="5"/>
    </row>
    <row r="55" spans="2:21" x14ac:dyDescent="0.25">
      <c r="B55" s="22">
        <f>B54+TIME(0,30,0)</f>
        <v>0.4375</v>
      </c>
      <c r="C55" s="21" t="s">
        <v>90</v>
      </c>
      <c r="D55" s="21" t="str">
        <f t="shared" ref="D55:D68" si="5">VLOOKUP(F54,$C$45:$F$50,4,FALSE)</f>
        <v>LEG</v>
      </c>
      <c r="E55" s="21" t="str">
        <f t="shared" ref="E55:E68" si="6">VLOOKUP(K54,$C$45:$F$50,4,FALSE)</f>
        <v>GST</v>
      </c>
      <c r="F55" s="110" t="str">
        <f>QRR</f>
        <v>Querrad</v>
      </c>
      <c r="G55" s="110"/>
      <c r="H55" s="110"/>
      <c r="I55" s="110"/>
      <c r="J55" s="21" t="s">
        <v>24</v>
      </c>
      <c r="K55" s="110" t="str">
        <f>TRV</f>
        <v>MJC Trier - Die Treverer</v>
      </c>
      <c r="L55" s="110"/>
      <c r="M55" s="89"/>
      <c r="N55" s="21" t="s">
        <v>24</v>
      </c>
      <c r="O55" s="92"/>
      <c r="P55" s="91"/>
      <c r="Q55" s="23" t="s">
        <v>24</v>
      </c>
      <c r="R55" s="94"/>
      <c r="S55" s="5"/>
      <c r="T55" s="5"/>
      <c r="U55" s="5"/>
    </row>
    <row r="56" spans="2:21" x14ac:dyDescent="0.25">
      <c r="B56" s="22">
        <f t="shared" ref="B56:B68" si="7">B55+TIME(0,30,0)</f>
        <v>0.45833333333333331</v>
      </c>
      <c r="C56" s="31" t="s">
        <v>91</v>
      </c>
      <c r="D56" s="21" t="str">
        <f t="shared" si="5"/>
        <v>QRR</v>
      </c>
      <c r="E56" s="21" t="str">
        <f t="shared" si="6"/>
        <v>TRV</v>
      </c>
      <c r="F56" s="110" t="str">
        <f>ONE</f>
        <v>OnewheeleRS</v>
      </c>
      <c r="G56" s="110"/>
      <c r="H56" s="110"/>
      <c r="I56" s="110"/>
      <c r="J56" s="21" t="s">
        <v>24</v>
      </c>
      <c r="K56" s="110" t="str">
        <f>UTH</f>
        <v>SKV Mörfelden UniThunder</v>
      </c>
      <c r="L56" s="110"/>
      <c r="M56" s="89"/>
      <c r="N56" s="21" t="s">
        <v>24</v>
      </c>
      <c r="O56" s="92"/>
      <c r="P56" s="91"/>
      <c r="Q56" s="23" t="s">
        <v>24</v>
      </c>
      <c r="R56" s="94"/>
      <c r="S56" s="5"/>
      <c r="T56" s="5"/>
      <c r="U56" s="5"/>
    </row>
    <row r="57" spans="2:21" x14ac:dyDescent="0.25">
      <c r="B57" s="22">
        <f t="shared" si="7"/>
        <v>0.47916666666666663</v>
      </c>
      <c r="C57" s="21" t="s">
        <v>92</v>
      </c>
      <c r="D57" s="21" t="str">
        <f t="shared" si="5"/>
        <v>ONE</v>
      </c>
      <c r="E57" s="21" t="str">
        <f t="shared" si="6"/>
        <v>UTH</v>
      </c>
      <c r="F57" s="110" t="str">
        <f>QRR</f>
        <v>Querrad</v>
      </c>
      <c r="G57" s="110"/>
      <c r="H57" s="110"/>
      <c r="I57" s="110"/>
      <c r="J57" s="21" t="s">
        <v>24</v>
      </c>
      <c r="K57" s="110" t="str">
        <f>LEG</f>
        <v>MJC Trier - Die Legionäre</v>
      </c>
      <c r="L57" s="110"/>
      <c r="M57" s="89"/>
      <c r="N57" s="21" t="s">
        <v>24</v>
      </c>
      <c r="O57" s="92"/>
      <c r="P57" s="91"/>
      <c r="Q57" s="23" t="s">
        <v>24</v>
      </c>
      <c r="R57" s="94"/>
      <c r="S57" s="5"/>
      <c r="T57" s="5"/>
      <c r="U57" s="5"/>
    </row>
    <row r="58" spans="2:21" x14ac:dyDescent="0.25">
      <c r="B58" s="22">
        <f t="shared" si="7"/>
        <v>0.49999999999999994</v>
      </c>
      <c r="C58" s="31" t="s">
        <v>93</v>
      </c>
      <c r="D58" s="21" t="str">
        <f t="shared" si="5"/>
        <v>QRR</v>
      </c>
      <c r="E58" s="21" t="str">
        <f t="shared" si="6"/>
        <v>LEG</v>
      </c>
      <c r="F58" s="110" t="str">
        <f>UTH</f>
        <v>SKV Mörfelden UniThunder</v>
      </c>
      <c r="G58" s="110"/>
      <c r="H58" s="110"/>
      <c r="I58" s="110"/>
      <c r="J58" s="21" t="s">
        <v>24</v>
      </c>
      <c r="K58" s="110" t="str">
        <f>GST</f>
        <v>Geisterfahrer</v>
      </c>
      <c r="L58" s="110"/>
      <c r="M58" s="89"/>
      <c r="N58" s="21" t="s">
        <v>24</v>
      </c>
      <c r="O58" s="92"/>
      <c r="P58" s="91"/>
      <c r="Q58" s="23" t="s">
        <v>24</v>
      </c>
      <c r="R58" s="94"/>
      <c r="S58" s="5"/>
      <c r="T58" s="5"/>
      <c r="U58" s="5"/>
    </row>
    <row r="59" spans="2:21" x14ac:dyDescent="0.25">
      <c r="B59" s="22">
        <f t="shared" si="7"/>
        <v>0.52083333333333326</v>
      </c>
      <c r="C59" s="21" t="s">
        <v>94</v>
      </c>
      <c r="D59" s="21" t="str">
        <f t="shared" si="5"/>
        <v>UTH</v>
      </c>
      <c r="E59" s="21" t="str">
        <f t="shared" si="6"/>
        <v>GST</v>
      </c>
      <c r="F59" s="110" t="str">
        <f>ONE</f>
        <v>OnewheeleRS</v>
      </c>
      <c r="G59" s="110"/>
      <c r="H59" s="110"/>
      <c r="I59" s="110"/>
      <c r="J59" s="21" t="s">
        <v>24</v>
      </c>
      <c r="K59" s="110" t="str">
        <f>TRV</f>
        <v>MJC Trier - Die Treverer</v>
      </c>
      <c r="L59" s="110"/>
      <c r="M59" s="89"/>
      <c r="N59" s="21" t="s">
        <v>24</v>
      </c>
      <c r="O59" s="92"/>
      <c r="P59" s="91"/>
      <c r="Q59" s="23" t="s">
        <v>24</v>
      </c>
      <c r="R59" s="94"/>
      <c r="S59" s="5"/>
      <c r="T59" s="5"/>
      <c r="U59" s="5"/>
    </row>
    <row r="60" spans="2:21" x14ac:dyDescent="0.25">
      <c r="B60" s="22">
        <f t="shared" si="7"/>
        <v>0.54166666666666663</v>
      </c>
      <c r="C60" s="31" t="s">
        <v>95</v>
      </c>
      <c r="D60" s="21" t="str">
        <f t="shared" si="5"/>
        <v>ONE</v>
      </c>
      <c r="E60" s="21" t="str">
        <f t="shared" si="6"/>
        <v>TRV</v>
      </c>
      <c r="F60" s="110" t="str">
        <f>QRR</f>
        <v>Querrad</v>
      </c>
      <c r="G60" s="110"/>
      <c r="H60" s="110"/>
      <c r="I60" s="110"/>
      <c r="J60" s="21" t="s">
        <v>24</v>
      </c>
      <c r="K60" s="110" t="str">
        <f>UTH</f>
        <v>SKV Mörfelden UniThunder</v>
      </c>
      <c r="L60" s="110"/>
      <c r="M60" s="89"/>
      <c r="N60" s="21" t="s">
        <v>24</v>
      </c>
      <c r="O60" s="92"/>
      <c r="P60" s="91"/>
      <c r="Q60" s="23" t="s">
        <v>24</v>
      </c>
      <c r="R60" s="94"/>
      <c r="S60" s="5"/>
      <c r="T60" s="5"/>
      <c r="U60" s="5"/>
    </row>
    <row r="61" spans="2:21" x14ac:dyDescent="0.25">
      <c r="B61" s="22">
        <f t="shared" si="7"/>
        <v>0.5625</v>
      </c>
      <c r="C61" s="21" t="s">
        <v>96</v>
      </c>
      <c r="D61" s="21" t="str">
        <f t="shared" si="5"/>
        <v>QRR</v>
      </c>
      <c r="E61" s="21" t="str">
        <f t="shared" si="6"/>
        <v>UTH</v>
      </c>
      <c r="F61" s="110" t="str">
        <f>LEG</f>
        <v>MJC Trier - Die Legionäre</v>
      </c>
      <c r="G61" s="110"/>
      <c r="H61" s="110"/>
      <c r="I61" s="110"/>
      <c r="J61" s="21" t="s">
        <v>24</v>
      </c>
      <c r="K61" s="110" t="str">
        <f>TRV</f>
        <v>MJC Trier - Die Treverer</v>
      </c>
      <c r="L61" s="110"/>
      <c r="M61" s="89"/>
      <c r="N61" s="21" t="s">
        <v>24</v>
      </c>
      <c r="O61" s="92"/>
      <c r="P61" s="91"/>
      <c r="Q61" s="23" t="s">
        <v>24</v>
      </c>
      <c r="R61" s="94"/>
      <c r="S61" s="5"/>
      <c r="T61" s="5"/>
      <c r="U61" s="5"/>
    </row>
    <row r="62" spans="2:21" x14ac:dyDescent="0.25">
      <c r="B62" s="22">
        <f t="shared" si="7"/>
        <v>0.58333333333333337</v>
      </c>
      <c r="C62" s="31" t="s">
        <v>97</v>
      </c>
      <c r="D62" s="21" t="str">
        <f t="shared" si="5"/>
        <v>LEG</v>
      </c>
      <c r="E62" s="21" t="str">
        <f t="shared" si="6"/>
        <v>TRV</v>
      </c>
      <c r="F62" s="110" t="str">
        <f>ONE</f>
        <v>OnewheeleRS</v>
      </c>
      <c r="G62" s="110"/>
      <c r="H62" s="110"/>
      <c r="I62" s="110"/>
      <c r="J62" s="21" t="s">
        <v>24</v>
      </c>
      <c r="K62" s="110" t="str">
        <f>GST</f>
        <v>Geisterfahrer</v>
      </c>
      <c r="L62" s="110"/>
      <c r="M62" s="89"/>
      <c r="N62" s="21" t="s">
        <v>24</v>
      </c>
      <c r="O62" s="92"/>
      <c r="P62" s="91"/>
      <c r="Q62" s="23" t="s">
        <v>24</v>
      </c>
      <c r="R62" s="94"/>
      <c r="S62" s="5"/>
      <c r="T62" s="5"/>
      <c r="U62" s="5"/>
    </row>
    <row r="63" spans="2:21" x14ac:dyDescent="0.25">
      <c r="B63" s="22">
        <f t="shared" si="7"/>
        <v>0.60416666666666674</v>
      </c>
      <c r="C63" s="21" t="s">
        <v>98</v>
      </c>
      <c r="D63" s="21" t="str">
        <f t="shared" si="5"/>
        <v>ONE</v>
      </c>
      <c r="E63" s="21" t="str">
        <f t="shared" si="6"/>
        <v>GST</v>
      </c>
      <c r="F63" s="110" t="str">
        <f>UTH</f>
        <v>SKV Mörfelden UniThunder</v>
      </c>
      <c r="G63" s="110"/>
      <c r="H63" s="110"/>
      <c r="I63" s="110"/>
      <c r="J63" s="21" t="s">
        <v>24</v>
      </c>
      <c r="K63" s="110" t="str">
        <f>TRV</f>
        <v>MJC Trier - Die Treverer</v>
      </c>
      <c r="L63" s="110"/>
      <c r="M63" s="89"/>
      <c r="N63" s="21" t="s">
        <v>24</v>
      </c>
      <c r="O63" s="92"/>
      <c r="P63" s="91"/>
      <c r="Q63" s="23" t="s">
        <v>24</v>
      </c>
      <c r="R63" s="94"/>
      <c r="S63" s="5"/>
      <c r="T63" s="5"/>
      <c r="U63" s="5"/>
    </row>
    <row r="64" spans="2:21" x14ac:dyDescent="0.25">
      <c r="B64" s="22">
        <f t="shared" si="7"/>
        <v>0.62500000000000011</v>
      </c>
      <c r="C64" s="31" t="s">
        <v>99</v>
      </c>
      <c r="D64" s="21" t="str">
        <f t="shared" si="5"/>
        <v>UTH</v>
      </c>
      <c r="E64" s="21" t="str">
        <f t="shared" si="6"/>
        <v>TRV</v>
      </c>
      <c r="F64" s="110" t="str">
        <f>QRR</f>
        <v>Querrad</v>
      </c>
      <c r="G64" s="110"/>
      <c r="H64" s="110"/>
      <c r="I64" s="110"/>
      <c r="J64" s="21" t="s">
        <v>24</v>
      </c>
      <c r="K64" s="110" t="str">
        <f>GST</f>
        <v>Geisterfahrer</v>
      </c>
      <c r="L64" s="110"/>
      <c r="M64" s="89"/>
      <c r="N64" s="21" t="s">
        <v>24</v>
      </c>
      <c r="O64" s="92"/>
      <c r="P64" s="91"/>
      <c r="Q64" s="23" t="s">
        <v>24</v>
      </c>
      <c r="R64" s="94"/>
      <c r="S64" s="5"/>
      <c r="T64" s="5"/>
      <c r="U64" s="5"/>
    </row>
    <row r="65" spans="2:21" x14ac:dyDescent="0.25">
      <c r="B65" s="22">
        <f t="shared" si="7"/>
        <v>0.64583333333333348</v>
      </c>
      <c r="C65" s="21" t="s">
        <v>100</v>
      </c>
      <c r="D65" s="21" t="str">
        <f t="shared" si="5"/>
        <v>QRR</v>
      </c>
      <c r="E65" s="21" t="str">
        <f t="shared" si="6"/>
        <v>GST</v>
      </c>
      <c r="F65" s="110" t="str">
        <f>ONE</f>
        <v>OnewheeleRS</v>
      </c>
      <c r="G65" s="110"/>
      <c r="H65" s="110"/>
      <c r="I65" s="110"/>
      <c r="J65" s="21" t="s">
        <v>24</v>
      </c>
      <c r="K65" s="110" t="str">
        <f>LEG</f>
        <v>MJC Trier - Die Legionäre</v>
      </c>
      <c r="L65" s="110"/>
      <c r="M65" s="89"/>
      <c r="N65" s="21" t="s">
        <v>24</v>
      </c>
      <c r="O65" s="92"/>
      <c r="P65" s="91"/>
      <c r="Q65" s="23" t="s">
        <v>24</v>
      </c>
      <c r="R65" s="94"/>
      <c r="S65" s="5"/>
      <c r="T65" s="5"/>
      <c r="U65" s="5"/>
    </row>
    <row r="66" spans="2:21" x14ac:dyDescent="0.25">
      <c r="B66" s="22">
        <f t="shared" si="7"/>
        <v>0.66666666666666685</v>
      </c>
      <c r="C66" s="31" t="s">
        <v>101</v>
      </c>
      <c r="D66" s="21" t="str">
        <f t="shared" si="5"/>
        <v>ONE</v>
      </c>
      <c r="E66" s="21" t="str">
        <f t="shared" si="6"/>
        <v>LEG</v>
      </c>
      <c r="F66" s="110" t="str">
        <f>TRV</f>
        <v>MJC Trier - Die Treverer</v>
      </c>
      <c r="G66" s="110"/>
      <c r="H66" s="110"/>
      <c r="I66" s="110"/>
      <c r="J66" s="21" t="s">
        <v>24</v>
      </c>
      <c r="K66" s="110" t="str">
        <f>GST</f>
        <v>Geisterfahrer</v>
      </c>
      <c r="L66" s="110"/>
      <c r="M66" s="89"/>
      <c r="N66" s="21" t="s">
        <v>24</v>
      </c>
      <c r="O66" s="92"/>
      <c r="P66" s="91"/>
      <c r="Q66" s="23" t="s">
        <v>24</v>
      </c>
      <c r="R66" s="94"/>
      <c r="S66" s="5"/>
      <c r="T66" s="5"/>
      <c r="U66" s="5"/>
    </row>
    <row r="67" spans="2:21" x14ac:dyDescent="0.25">
      <c r="B67" s="22">
        <f t="shared" si="7"/>
        <v>0.68750000000000022</v>
      </c>
      <c r="C67" s="21" t="s">
        <v>102</v>
      </c>
      <c r="D67" s="21" t="str">
        <f t="shared" si="5"/>
        <v>TRV</v>
      </c>
      <c r="E67" s="21" t="str">
        <f t="shared" si="6"/>
        <v>GST</v>
      </c>
      <c r="F67" s="110" t="str">
        <f>LEG</f>
        <v>MJC Trier - Die Legionäre</v>
      </c>
      <c r="G67" s="110"/>
      <c r="H67" s="110"/>
      <c r="I67" s="110"/>
      <c r="J67" s="21" t="s">
        <v>24</v>
      </c>
      <c r="K67" s="110" t="str">
        <f>UTH</f>
        <v>SKV Mörfelden UniThunder</v>
      </c>
      <c r="L67" s="110"/>
      <c r="M67" s="89"/>
      <c r="N67" s="21" t="s">
        <v>24</v>
      </c>
      <c r="O67" s="92"/>
      <c r="P67" s="91"/>
      <c r="Q67" s="23" t="s">
        <v>24</v>
      </c>
      <c r="R67" s="94"/>
      <c r="S67" s="5"/>
      <c r="T67" s="5"/>
      <c r="U67" s="5"/>
    </row>
    <row r="68" spans="2:21" x14ac:dyDescent="0.25">
      <c r="B68" s="22">
        <f t="shared" si="7"/>
        <v>0.70833333333333359</v>
      </c>
      <c r="C68" s="31" t="s">
        <v>103</v>
      </c>
      <c r="D68" s="21" t="str">
        <f t="shared" si="5"/>
        <v>LEG</v>
      </c>
      <c r="E68" s="21" t="str">
        <f t="shared" si="6"/>
        <v>UTH</v>
      </c>
      <c r="F68" s="110" t="str">
        <f>ONE</f>
        <v>OnewheeleRS</v>
      </c>
      <c r="G68" s="110"/>
      <c r="H68" s="110"/>
      <c r="I68" s="110"/>
      <c r="J68" s="21" t="s">
        <v>24</v>
      </c>
      <c r="K68" s="110" t="str">
        <f>QRR</f>
        <v>Querrad</v>
      </c>
      <c r="L68" s="110"/>
      <c r="M68" s="89"/>
      <c r="N68" s="21" t="s">
        <v>24</v>
      </c>
      <c r="O68" s="92"/>
      <c r="P68" s="93"/>
      <c r="Q68" s="35" t="s">
        <v>24</v>
      </c>
      <c r="R68" s="95"/>
      <c r="S68" s="5"/>
      <c r="T68" s="5"/>
      <c r="U68" s="5"/>
    </row>
    <row r="70" spans="2:21" x14ac:dyDescent="0.25">
      <c r="B70" s="16" t="s">
        <v>88</v>
      </c>
      <c r="C70" s="14"/>
      <c r="D70" s="14"/>
      <c r="E70" s="14"/>
      <c r="F70" s="14"/>
      <c r="G70" s="14"/>
      <c r="H70" s="14"/>
      <c r="I70" s="14"/>
      <c r="J70" s="14"/>
      <c r="K70" s="15"/>
    </row>
    <row r="71" spans="2:21" x14ac:dyDescent="0.25">
      <c r="B71" s="25" t="s">
        <v>59</v>
      </c>
      <c r="C71" s="26" t="s">
        <v>33</v>
      </c>
      <c r="D71" s="27"/>
      <c r="E71" s="27"/>
      <c r="F71" s="24" t="s">
        <v>58</v>
      </c>
      <c r="G71" s="24" t="s">
        <v>53</v>
      </c>
      <c r="H71" s="24" t="s">
        <v>54</v>
      </c>
      <c r="I71" s="24" t="s">
        <v>55</v>
      </c>
      <c r="J71" s="112" t="s">
        <v>56</v>
      </c>
      <c r="K71" s="113"/>
      <c r="L71" s="5"/>
      <c r="M71" s="5"/>
      <c r="N71" s="5"/>
      <c r="O71" s="5"/>
      <c r="P71" s="5"/>
      <c r="Q71" s="5"/>
      <c r="R71" s="5"/>
      <c r="S71" s="5"/>
      <c r="T71" s="5"/>
      <c r="U71" s="5"/>
    </row>
    <row r="72" spans="2:21" x14ac:dyDescent="0.25">
      <c r="B72" s="28">
        <v>1</v>
      </c>
      <c r="C72" s="123" t="str">
        <f>VLOOKUP($B72,Rechner!$BC$6:$BE$11,3,FALSE)</f>
        <v>OnewheeleRS</v>
      </c>
      <c r="D72" s="123"/>
      <c r="E72" s="123"/>
      <c r="F72" s="29">
        <f>VLOOKUP($C72,Rechner!$BE$6:$BJ$11,2,FALSE)</f>
        <v>0</v>
      </c>
      <c r="G72" s="29">
        <f>VLOOKUP($C72,Rechner!$BE$6:$BJ$11,3,FALSE)</f>
        <v>0</v>
      </c>
      <c r="H72" s="29">
        <f>VLOOKUP($C72,Rechner!$BE$6:$BJ$11,4,FALSE)</f>
        <v>0</v>
      </c>
      <c r="I72" s="29">
        <f>VLOOKUP($C72,Rechner!$BE$6:$BJ$11,5,FALSE)</f>
        <v>0</v>
      </c>
      <c r="J72" s="115">
        <f>VLOOKUP($C72,Rechner!$BE$6:$BJ$11,6,FALSE)</f>
        <v>0</v>
      </c>
      <c r="K72" s="116" t="e">
        <f>VLOOKUP($C34,Rechner!$Y$6:$AD$12,COLUMN()-4,FALSE)</f>
        <v>#REF!</v>
      </c>
      <c r="L72" s="5"/>
      <c r="M72" s="5"/>
      <c r="N72" s="5"/>
      <c r="O72" s="5"/>
      <c r="P72" s="5"/>
      <c r="Q72" s="5"/>
      <c r="R72" s="5"/>
      <c r="S72" s="5"/>
      <c r="T72" s="5"/>
      <c r="U72" s="5"/>
    </row>
    <row r="73" spans="2:21" x14ac:dyDescent="0.25">
      <c r="B73" s="28">
        <v>2</v>
      </c>
      <c r="C73" s="123" t="str">
        <f>VLOOKUP($B73,Rechner!$BC$6:$BE$11,3,FALSE)</f>
        <v>Querrad</v>
      </c>
      <c r="D73" s="123"/>
      <c r="E73" s="123"/>
      <c r="F73" s="29">
        <f>VLOOKUP($C73,Rechner!$BE$6:$BJ$11,2,FALSE)</f>
        <v>0</v>
      </c>
      <c r="G73" s="29">
        <f>VLOOKUP($C73,Rechner!$BE$6:$BJ$11,3,FALSE)</f>
        <v>0</v>
      </c>
      <c r="H73" s="29">
        <f>VLOOKUP($C73,Rechner!$BE$6:$BJ$11,4,FALSE)</f>
        <v>0</v>
      </c>
      <c r="I73" s="29">
        <f>VLOOKUP($C73,Rechner!$BE$6:$BJ$11,5,FALSE)</f>
        <v>0</v>
      </c>
      <c r="J73" s="115">
        <f>VLOOKUP($C73,Rechner!$BE$6:$BJ$11,6,FALSE)</f>
        <v>0</v>
      </c>
      <c r="K73" s="116" t="e">
        <f>VLOOKUP($C35,Rechner!$Y$6:$AD$12,COLUMN()-4,FALSE)</f>
        <v>#REF!</v>
      </c>
      <c r="L73" s="5"/>
      <c r="M73" s="5"/>
      <c r="N73" s="5"/>
      <c r="O73" s="5"/>
      <c r="P73" s="5"/>
      <c r="Q73" s="5"/>
      <c r="R73" s="5"/>
      <c r="S73" s="5"/>
      <c r="T73" s="5"/>
      <c r="U73" s="5"/>
    </row>
    <row r="74" spans="2:21" x14ac:dyDescent="0.25">
      <c r="B74" s="28">
        <v>3</v>
      </c>
      <c r="C74" s="123" t="str">
        <f>VLOOKUP($B74,Rechner!$BC$6:$BE$11,3,FALSE)</f>
        <v>MJC Trier - Die Legionäre</v>
      </c>
      <c r="D74" s="123"/>
      <c r="E74" s="123"/>
      <c r="F74" s="29">
        <f>VLOOKUP($C74,Rechner!$BE$6:$BJ$11,2,FALSE)</f>
        <v>0</v>
      </c>
      <c r="G74" s="29">
        <f>VLOOKUP($C74,Rechner!$BE$6:$BJ$11,3,FALSE)</f>
        <v>0</v>
      </c>
      <c r="H74" s="29">
        <f>VLOOKUP($C74,Rechner!$BE$6:$BJ$11,4,FALSE)</f>
        <v>0</v>
      </c>
      <c r="I74" s="29">
        <f>VLOOKUP($C74,Rechner!$BE$6:$BJ$11,5,FALSE)</f>
        <v>0</v>
      </c>
      <c r="J74" s="115">
        <f>VLOOKUP($C74,Rechner!$BE$6:$BJ$11,6,FALSE)</f>
        <v>0</v>
      </c>
      <c r="K74" s="116" t="e">
        <f>VLOOKUP($C36,Rechner!$Y$6:$AD$12,COLUMN()-4,FALSE)</f>
        <v>#REF!</v>
      </c>
      <c r="L74" s="5"/>
      <c r="M74" s="5"/>
      <c r="N74" s="5"/>
      <c r="O74" s="5"/>
      <c r="P74" s="5"/>
      <c r="Q74" s="5"/>
      <c r="R74" s="5"/>
      <c r="S74" s="5"/>
      <c r="T74" s="5"/>
      <c r="U74" s="5"/>
    </row>
    <row r="75" spans="2:21" x14ac:dyDescent="0.25">
      <c r="B75" s="28">
        <v>4</v>
      </c>
      <c r="C75" s="123" t="str">
        <f>VLOOKUP($B75,Rechner!$BC$6:$BE$11,3,FALSE)</f>
        <v>SKV Mörfelden UniThunder</v>
      </c>
      <c r="D75" s="123"/>
      <c r="E75" s="123"/>
      <c r="F75" s="29">
        <f>VLOOKUP($C75,Rechner!$BE$6:$BJ$11,2,FALSE)</f>
        <v>0</v>
      </c>
      <c r="G75" s="29">
        <f>VLOOKUP($C75,Rechner!$BE$6:$BJ$11,3,FALSE)</f>
        <v>0</v>
      </c>
      <c r="H75" s="29">
        <f>VLOOKUP($C75,Rechner!$BE$6:$BJ$11,4,FALSE)</f>
        <v>0</v>
      </c>
      <c r="I75" s="29">
        <f>VLOOKUP($C75,Rechner!$BE$6:$BJ$11,5,FALSE)</f>
        <v>0</v>
      </c>
      <c r="J75" s="115">
        <f>VLOOKUP($C75,Rechner!$BE$6:$BJ$11,6,FALSE)</f>
        <v>0</v>
      </c>
      <c r="K75" s="116" t="e">
        <f>VLOOKUP($C37,Rechner!$Y$6:$AD$12,COLUMN()-4,FALSE)</f>
        <v>#REF!</v>
      </c>
      <c r="L75" s="5"/>
      <c r="M75" s="5"/>
      <c r="N75" s="5"/>
      <c r="O75" s="5"/>
      <c r="P75" s="5"/>
      <c r="Q75" s="5"/>
      <c r="R75" s="5"/>
      <c r="S75" s="5"/>
      <c r="T75" s="5"/>
      <c r="U75" s="5"/>
    </row>
    <row r="76" spans="2:21" x14ac:dyDescent="0.25">
      <c r="B76" s="28">
        <v>5</v>
      </c>
      <c r="C76" s="123" t="str">
        <f>VLOOKUP($B76,Rechner!$BC$6:$BE$11,3,FALSE)</f>
        <v>MJC Trier - Die Treverer</v>
      </c>
      <c r="D76" s="123"/>
      <c r="E76" s="123"/>
      <c r="F76" s="29">
        <f>VLOOKUP($C76,Rechner!$BE$6:$BJ$11,2,FALSE)</f>
        <v>0</v>
      </c>
      <c r="G76" s="29">
        <f>VLOOKUP($C76,Rechner!$BE$6:$BJ$11,3,FALSE)</f>
        <v>0</v>
      </c>
      <c r="H76" s="29">
        <f>VLOOKUP($C76,Rechner!$BE$6:$BJ$11,4,FALSE)</f>
        <v>0</v>
      </c>
      <c r="I76" s="29">
        <f>VLOOKUP($C76,Rechner!$BE$6:$BJ$11,5,FALSE)</f>
        <v>0</v>
      </c>
      <c r="J76" s="115">
        <f>VLOOKUP($C76,Rechner!$BE$6:$BJ$11,6,FALSE)</f>
        <v>0</v>
      </c>
      <c r="K76" s="116" t="e">
        <f>VLOOKUP($C38,Rechner!$Y$6:$AD$12,COLUMN()-4,FALSE)</f>
        <v>#REF!</v>
      </c>
      <c r="L76" s="5"/>
      <c r="M76" s="5"/>
      <c r="N76" s="5"/>
      <c r="O76" s="5"/>
      <c r="P76" s="5"/>
      <c r="Q76" s="5"/>
      <c r="R76" s="5"/>
      <c r="S76" s="5"/>
      <c r="T76" s="5"/>
      <c r="U76" s="5"/>
    </row>
    <row r="77" spans="2:21" x14ac:dyDescent="0.25">
      <c r="B77" s="28">
        <v>6</v>
      </c>
      <c r="C77" s="123" t="str">
        <f>VLOOKUP($B77,Rechner!$BC$6:$BE$11,3,FALSE)</f>
        <v>Geisterfahrer</v>
      </c>
      <c r="D77" s="123"/>
      <c r="E77" s="123"/>
      <c r="F77" s="29">
        <f>VLOOKUP($C77,Rechner!$BE$6:$BJ$11,2,FALSE)</f>
        <v>0</v>
      </c>
      <c r="G77" s="29">
        <f>VLOOKUP($C77,Rechner!$BE$6:$BJ$11,3,FALSE)</f>
        <v>0</v>
      </c>
      <c r="H77" s="29">
        <f>VLOOKUP($C77,Rechner!$BE$6:$BJ$11,4,FALSE)</f>
        <v>0</v>
      </c>
      <c r="I77" s="29">
        <f>VLOOKUP($C77,Rechner!$BE$6:$BJ$11,5,FALSE)</f>
        <v>0</v>
      </c>
      <c r="J77" s="115">
        <f>VLOOKUP($C77,Rechner!$BE$6:$BJ$11,6,FALSE)</f>
        <v>0</v>
      </c>
      <c r="K77" s="116" t="e">
        <f>VLOOKUP($C39,Rechner!$Y$6:$AD$12,COLUMN()-4,FALSE)</f>
        <v>#REF!</v>
      </c>
      <c r="L77" s="5"/>
      <c r="M77" s="5"/>
      <c r="N77" s="5"/>
      <c r="O77" s="5"/>
      <c r="P77" s="5"/>
      <c r="Q77" s="5"/>
      <c r="R77" s="5"/>
      <c r="S77" s="5"/>
      <c r="T77" s="5"/>
      <c r="U77" s="5"/>
    </row>
    <row r="80" spans="2:21" ht="18.75" customHeight="1" x14ac:dyDescent="0.25">
      <c r="B80" s="101" t="s">
        <v>104</v>
      </c>
      <c r="C80" s="102"/>
      <c r="D80" s="102"/>
      <c r="E80" s="102"/>
      <c r="F80" s="102"/>
      <c r="G80" s="102"/>
      <c r="H80" s="102"/>
      <c r="I80" s="102"/>
      <c r="J80" s="102"/>
      <c r="K80" s="102"/>
      <c r="L80" s="102"/>
      <c r="M80" s="102"/>
      <c r="N80" s="102"/>
      <c r="O80" s="102"/>
      <c r="P80" s="102"/>
      <c r="Q80" s="102"/>
      <c r="R80" s="102"/>
      <c r="S80" s="102"/>
      <c r="T80" s="102"/>
      <c r="U80" s="103"/>
    </row>
    <row r="81" spans="2:24" ht="3.75" customHeight="1" x14ac:dyDescent="0.25"/>
    <row r="82" spans="2:24" ht="18.75" customHeight="1" x14ac:dyDescent="0.25">
      <c r="B82" s="104" t="s">
        <v>105</v>
      </c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6"/>
    </row>
    <row r="85" spans="2:24" x14ac:dyDescent="0.25">
      <c r="B85" s="16" t="s">
        <v>114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17" t="s">
        <v>3</v>
      </c>
      <c r="N85" s="96"/>
      <c r="O85" s="97"/>
      <c r="P85" s="117" t="s">
        <v>57</v>
      </c>
      <c r="Q85" s="96"/>
      <c r="R85" s="97"/>
      <c r="S85" s="96" t="s">
        <v>50</v>
      </c>
      <c r="T85" s="96"/>
      <c r="U85" s="97"/>
    </row>
    <row r="86" spans="2:24" x14ac:dyDescent="0.25">
      <c r="B86" s="17" t="s">
        <v>4</v>
      </c>
      <c r="C86" s="18" t="s">
        <v>5</v>
      </c>
      <c r="D86" s="108" t="s">
        <v>6</v>
      </c>
      <c r="E86" s="108"/>
      <c r="F86" s="109" t="s">
        <v>7</v>
      </c>
      <c r="G86" s="109"/>
      <c r="H86" s="109"/>
      <c r="I86" s="109"/>
      <c r="J86" s="19"/>
      <c r="K86" s="19" t="s">
        <v>8</v>
      </c>
      <c r="L86" s="19"/>
      <c r="M86" s="118"/>
      <c r="N86" s="98"/>
      <c r="O86" s="99"/>
      <c r="P86" s="118" t="s">
        <v>50</v>
      </c>
      <c r="Q86" s="98"/>
      <c r="R86" s="99"/>
      <c r="S86" s="98" t="s">
        <v>50</v>
      </c>
      <c r="T86" s="98"/>
      <c r="U86" s="99"/>
    </row>
    <row r="87" spans="2:24" x14ac:dyDescent="0.25">
      <c r="B87" s="32">
        <v>0.375</v>
      </c>
      <c r="C87" s="31" t="s">
        <v>106</v>
      </c>
      <c r="D87" s="31" t="str">
        <f>IF(F34&gt;=5,VLOOKUP(C34,$C$7:$F$12,4,FALSE),"A1")</f>
        <v>A1</v>
      </c>
      <c r="E87" s="31" t="str">
        <f>IF(F73&gt;=5,VLOOKUP(C73,$C$45:$F$50,4,FALSE),"B2")</f>
        <v>B2</v>
      </c>
      <c r="F87" s="111" t="str">
        <f>IF(F38&gt;=5,C38,"Gruppe A Platz 5")</f>
        <v>Gruppe A Platz 5</v>
      </c>
      <c r="G87" s="111"/>
      <c r="H87" s="111"/>
      <c r="I87" s="111"/>
      <c r="J87" s="31" t="s">
        <v>24</v>
      </c>
      <c r="K87" s="111" t="str">
        <f>IF(F77&gt;=5,C77,"Gruppe B Platz 6")</f>
        <v>Gruppe B Platz 6</v>
      </c>
      <c r="L87" s="111"/>
      <c r="M87" s="88"/>
      <c r="N87" s="31" t="s">
        <v>24</v>
      </c>
      <c r="O87" s="90"/>
      <c r="P87" s="91"/>
      <c r="Q87" s="23" t="s">
        <v>24</v>
      </c>
      <c r="R87" s="94"/>
      <c r="S87" s="91"/>
      <c r="T87" s="23" t="s">
        <v>24</v>
      </c>
      <c r="U87" s="94"/>
      <c r="W87" t="b">
        <f>IF(ISNUMBER(M87),SUM(M87,P87,S87),FALSE)</f>
        <v>0</v>
      </c>
      <c r="X87" t="b">
        <f>IF(ISNUMBER(O87),SUM(O87,R87,U87),FALSE)</f>
        <v>0</v>
      </c>
    </row>
    <row r="88" spans="2:24" x14ac:dyDescent="0.25">
      <c r="B88" s="22">
        <f>B87+TIME(0,30,0)</f>
        <v>0.39583333333333331</v>
      </c>
      <c r="C88" s="21" t="s">
        <v>107</v>
      </c>
      <c r="D88" s="21" t="str">
        <f>IF(F72&gt;=5,VLOOKUP(C72,$C$45:$F$50,4,FALSE),"B1")</f>
        <v>B1</v>
      </c>
      <c r="E88" s="21" t="str">
        <f>IF(F35&gt;=5,VLOOKUP(C35,$C$7:$F$12,4,FALSE),"A2")</f>
        <v>A2</v>
      </c>
      <c r="F88" s="110" t="str">
        <f>IF(F76&gt;=5,C76,"Gruppe B Platz 5")</f>
        <v>Gruppe B Platz 5</v>
      </c>
      <c r="G88" s="110"/>
      <c r="H88" s="110"/>
      <c r="I88" s="110"/>
      <c r="J88" s="21" t="s">
        <v>24</v>
      </c>
      <c r="K88" s="110" t="str">
        <f>IF(F39&gt;=5,C39,"Gruppe A Platz 6")</f>
        <v>Gruppe A Platz 6</v>
      </c>
      <c r="L88" s="110"/>
      <c r="M88" s="89"/>
      <c r="N88" s="21" t="s">
        <v>24</v>
      </c>
      <c r="O88" s="92"/>
      <c r="P88" s="91"/>
      <c r="Q88" s="23" t="s">
        <v>24</v>
      </c>
      <c r="R88" s="94"/>
      <c r="S88" s="91"/>
      <c r="T88" s="23" t="s">
        <v>24</v>
      </c>
      <c r="U88" s="94"/>
      <c r="W88" t="b">
        <f t="shared" ref="W88:W98" si="8">IF(ISNUMBER(M88),SUM(M88,P88,S88),FALSE)</f>
        <v>0</v>
      </c>
      <c r="X88" t="b">
        <f t="shared" ref="X88:X98" si="9">IF(ISNUMBER(O88),SUM(O88,R88,U88),FALSE)</f>
        <v>0</v>
      </c>
    </row>
    <row r="89" spans="2:24" x14ac:dyDescent="0.25">
      <c r="B89" s="22">
        <f t="shared" ref="B89:B98" si="10">B88+TIME(0,30,0)</f>
        <v>0.41666666666666663</v>
      </c>
      <c r="C89" s="21" t="s">
        <v>108</v>
      </c>
      <c r="D89" s="21" t="str">
        <f>IF(F38&gt;=5,VLOOKUP(C38,$C$7:$F$12,4,FALSE),"A5")</f>
        <v>A5</v>
      </c>
      <c r="E89" s="21" t="str">
        <f>IF(F77&gt;=5,VLOOKUP(C77,$C$45:$F$50,4,FALSE),"B6")</f>
        <v>B6</v>
      </c>
      <c r="F89" s="110" t="str">
        <f>IF(F36&gt;=5,C36,"Gruppe A Platz 3")</f>
        <v>Gruppe A Platz 3</v>
      </c>
      <c r="G89" s="110"/>
      <c r="H89" s="110"/>
      <c r="I89" s="110"/>
      <c r="J89" s="21" t="s">
        <v>24</v>
      </c>
      <c r="K89" s="110" t="str">
        <f>IF(F75&gt;=5,C75,"Gruppe B Platz 4")</f>
        <v>Gruppe B Platz 4</v>
      </c>
      <c r="L89" s="110"/>
      <c r="M89" s="89"/>
      <c r="N89" s="21" t="s">
        <v>24</v>
      </c>
      <c r="O89" s="92"/>
      <c r="P89" s="91"/>
      <c r="Q89" s="23" t="s">
        <v>24</v>
      </c>
      <c r="R89" s="94"/>
      <c r="S89" s="91"/>
      <c r="T89" s="23" t="s">
        <v>24</v>
      </c>
      <c r="U89" s="94"/>
      <c r="W89" t="b">
        <f t="shared" si="8"/>
        <v>0</v>
      </c>
      <c r="X89" t="b">
        <f t="shared" si="9"/>
        <v>0</v>
      </c>
    </row>
    <row r="90" spans="2:24" x14ac:dyDescent="0.25">
      <c r="B90" s="22">
        <f t="shared" si="10"/>
        <v>0.43749999999999994</v>
      </c>
      <c r="C90" s="21" t="s">
        <v>109</v>
      </c>
      <c r="D90" s="21" t="str">
        <f>IF(F76&gt;=5,VLOOKUP(C76,$C$45:$F$50,4,FALSE),"B5")</f>
        <v>B5</v>
      </c>
      <c r="E90" s="21" t="str">
        <f>IF(F39&gt;=5,VLOOKUP(C39,$C$7:$F$12,4,FALSE),"A6")</f>
        <v>A6</v>
      </c>
      <c r="F90" s="110" t="str">
        <f>IF(F74&gt;=5,C74,"Gruppe B Platz 3")</f>
        <v>Gruppe B Platz 3</v>
      </c>
      <c r="G90" s="110"/>
      <c r="H90" s="110"/>
      <c r="I90" s="110"/>
      <c r="J90" s="21" t="s">
        <v>24</v>
      </c>
      <c r="K90" s="110" t="str">
        <f>IF(F37&gt;=5,C37,"Gruppe A Platz 4")</f>
        <v>Gruppe A Platz 4</v>
      </c>
      <c r="L90" s="110"/>
      <c r="M90" s="89"/>
      <c r="N90" s="21" t="s">
        <v>24</v>
      </c>
      <c r="O90" s="92"/>
      <c r="P90" s="91"/>
      <c r="Q90" s="23" t="s">
        <v>24</v>
      </c>
      <c r="R90" s="94"/>
      <c r="S90" s="91"/>
      <c r="T90" s="23" t="s">
        <v>24</v>
      </c>
      <c r="U90" s="94"/>
      <c r="W90" t="b">
        <f t="shared" si="8"/>
        <v>0</v>
      </c>
      <c r="X90" t="b">
        <f t="shared" si="9"/>
        <v>0</v>
      </c>
    </row>
    <row r="91" spans="2:24" x14ac:dyDescent="0.25">
      <c r="B91" s="22">
        <f t="shared" si="10"/>
        <v>0.45833333333333326</v>
      </c>
      <c r="C91" s="21" t="s">
        <v>51</v>
      </c>
      <c r="D91" s="21" t="str">
        <f>IF(F36&gt;=5,VLOOKUP(C36,$C$7:$F$12,4,FALSE),"A3")</f>
        <v>A3</v>
      </c>
      <c r="E91" s="21" t="str">
        <f>IF(F75&gt;=5,VLOOKUP(C75,$C$45:$F$50,4,FALSE),"B4")</f>
        <v>B4</v>
      </c>
      <c r="F91" s="110" t="str">
        <f>IF(F34&gt;=5,C34,"Gruppe A Platz 1")</f>
        <v>Gruppe A Platz 1</v>
      </c>
      <c r="G91" s="110"/>
      <c r="H91" s="110"/>
      <c r="I91" s="110"/>
      <c r="J91" s="21" t="s">
        <v>24</v>
      </c>
      <c r="K91" s="110" t="str">
        <f>IF(F73&gt;=5,C73,"Gruppe B Platz 2")</f>
        <v>Gruppe B Platz 2</v>
      </c>
      <c r="L91" s="110"/>
      <c r="M91" s="89"/>
      <c r="N91" s="21" t="s">
        <v>24</v>
      </c>
      <c r="O91" s="92"/>
      <c r="P91" s="91"/>
      <c r="Q91" s="23" t="s">
        <v>24</v>
      </c>
      <c r="R91" s="94"/>
      <c r="S91" s="91"/>
      <c r="T91" s="23" t="s">
        <v>24</v>
      </c>
      <c r="U91" s="94"/>
      <c r="W91" t="b">
        <f t="shared" si="8"/>
        <v>0</v>
      </c>
      <c r="X91" t="b">
        <f t="shared" si="9"/>
        <v>0</v>
      </c>
    </row>
    <row r="92" spans="2:24" x14ac:dyDescent="0.25">
      <c r="B92" s="22">
        <f t="shared" si="10"/>
        <v>0.47916666666666657</v>
      </c>
      <c r="C92" s="21" t="s">
        <v>52</v>
      </c>
      <c r="D92" s="21" t="str">
        <f>IF(F74&gt;=5,VLOOKUP(C74,$C$45:$F$50,4,FALSE),"B3")</f>
        <v>B3</v>
      </c>
      <c r="E92" s="21" t="str">
        <f>IF(F37&gt;=5,VLOOKUP(C37,$C$7:$F$12,4,FALSE),"A4")</f>
        <v>A4</v>
      </c>
      <c r="F92" s="110" t="str">
        <f>IF(F72&gt;=5,C72,"Gruppe B Platz 1")</f>
        <v>Gruppe B Platz 1</v>
      </c>
      <c r="G92" s="110"/>
      <c r="H92" s="110"/>
      <c r="I92" s="110"/>
      <c r="J92" s="21" t="s">
        <v>24</v>
      </c>
      <c r="K92" s="110" t="str">
        <f>IF(F35&gt;=5,C35,"Gruppe A Platz 2")</f>
        <v>Gruppe A Platz 2</v>
      </c>
      <c r="L92" s="110"/>
      <c r="M92" s="89"/>
      <c r="N92" s="21" t="s">
        <v>24</v>
      </c>
      <c r="O92" s="92"/>
      <c r="P92" s="91"/>
      <c r="Q92" s="23" t="s">
        <v>24</v>
      </c>
      <c r="R92" s="94"/>
      <c r="S92" s="91"/>
      <c r="T92" s="23" t="s">
        <v>24</v>
      </c>
      <c r="U92" s="94"/>
      <c r="W92" t="b">
        <f t="shared" si="8"/>
        <v>0</v>
      </c>
      <c r="X92" t="b">
        <f t="shared" si="9"/>
        <v>0</v>
      </c>
    </row>
    <row r="93" spans="2:24" x14ac:dyDescent="0.25">
      <c r="B93" s="22">
        <f t="shared" si="10"/>
        <v>0.49999999999999989</v>
      </c>
      <c r="C93" s="21" t="s">
        <v>110</v>
      </c>
      <c r="D93" s="21" t="str">
        <f>IFERROR(VLOOKUP(F97,$B$124:$C$135,2,FALSE),"VHF1")</f>
        <v>VHF1</v>
      </c>
      <c r="E93" s="21" t="str">
        <f>IFERROR(VLOOKUP(K97,$B$124:$C$135,2,FALSE),"VHF2")</f>
        <v>VHF2</v>
      </c>
      <c r="F93" s="110" t="str">
        <f>IF(W87=X87,"Verlierer HF5",IF(W87&gt;X87,K87,F87))</f>
        <v>Verlierer HF5</v>
      </c>
      <c r="G93" s="110"/>
      <c r="H93" s="110"/>
      <c r="I93" s="110"/>
      <c r="J93" s="21" t="s">
        <v>24</v>
      </c>
      <c r="K93" s="110" t="str">
        <f>IF(W88=X88,"Verlierer HF6",IF(W88&gt;X88,K88,F88))</f>
        <v>Verlierer HF6</v>
      </c>
      <c r="L93" s="110"/>
      <c r="M93" s="89"/>
      <c r="N93" s="21" t="s">
        <v>24</v>
      </c>
      <c r="O93" s="92"/>
      <c r="P93" s="91"/>
      <c r="Q93" s="23" t="s">
        <v>24</v>
      </c>
      <c r="R93" s="94"/>
      <c r="S93" s="91"/>
      <c r="T93" s="23" t="s">
        <v>24</v>
      </c>
      <c r="U93" s="94"/>
      <c r="W93" t="b">
        <f t="shared" si="8"/>
        <v>0</v>
      </c>
      <c r="X93" t="b">
        <f t="shared" si="9"/>
        <v>0</v>
      </c>
    </row>
    <row r="94" spans="2:24" x14ac:dyDescent="0.25">
      <c r="B94" s="22">
        <f t="shared" si="10"/>
        <v>0.52083333333333326</v>
      </c>
      <c r="C94" s="21" t="s">
        <v>111</v>
      </c>
      <c r="D94" s="21" t="str">
        <f>IFERROR(VLOOKUP(F98,$B$124:$C$135,2,FALSE),"GHF1")</f>
        <v>GHF1</v>
      </c>
      <c r="E94" s="21" t="str">
        <f>IFERROR(VLOOKUP(K98,$B$124:$C$135,2,FALSE),"GHF2")</f>
        <v>GHF2</v>
      </c>
      <c r="F94" s="110" t="str">
        <f>IF(W87=X87,"Gewinner HF5",IF(W87&gt;X87,F87,K87))</f>
        <v>Gewinner HF5</v>
      </c>
      <c r="G94" s="110"/>
      <c r="H94" s="110"/>
      <c r="I94" s="110"/>
      <c r="J94" s="21" t="s">
        <v>24</v>
      </c>
      <c r="K94" s="110" t="str">
        <f>IF(W88=X88,"Gewinner HF6",IF(W88&gt;X88,F88,K88))</f>
        <v>Gewinner HF6</v>
      </c>
      <c r="L94" s="110"/>
      <c r="M94" s="89"/>
      <c r="N94" s="21" t="s">
        <v>24</v>
      </c>
      <c r="O94" s="92"/>
      <c r="P94" s="91"/>
      <c r="Q94" s="23" t="s">
        <v>24</v>
      </c>
      <c r="R94" s="94"/>
      <c r="S94" s="91"/>
      <c r="T94" s="23" t="s">
        <v>24</v>
      </c>
      <c r="U94" s="94"/>
      <c r="W94" t="b">
        <f t="shared" si="8"/>
        <v>0</v>
      </c>
      <c r="X94" t="b">
        <f t="shared" si="9"/>
        <v>0</v>
      </c>
    </row>
    <row r="95" spans="2:24" x14ac:dyDescent="0.25">
      <c r="B95" s="22">
        <f t="shared" si="10"/>
        <v>0.54166666666666663</v>
      </c>
      <c r="C95" s="21" t="s">
        <v>112</v>
      </c>
      <c r="D95" s="21" t="str">
        <f>IFERROR(VLOOKUP(F93,$B$124:$C$135,2,FALSE),"VHF5")</f>
        <v>VHF5</v>
      </c>
      <c r="E95" s="21" t="str">
        <f>IFERROR(VLOOKUP(K93,$B$124:$C$135,2,FALSE),"VHF6")</f>
        <v>VHF6</v>
      </c>
      <c r="F95" s="110" t="str">
        <f>IF(W89=X89,"Verlierer HF3",IF(W89&gt;X89,K89,F89))</f>
        <v>Verlierer HF3</v>
      </c>
      <c r="G95" s="110"/>
      <c r="H95" s="110"/>
      <c r="I95" s="110"/>
      <c r="J95" s="21" t="s">
        <v>24</v>
      </c>
      <c r="K95" s="110" t="str">
        <f>IF(W90=X90,"Verlierer HF4",IF(W90&gt;X90,K90,F90))</f>
        <v>Verlierer HF4</v>
      </c>
      <c r="L95" s="110"/>
      <c r="M95" s="89"/>
      <c r="N95" s="21" t="s">
        <v>24</v>
      </c>
      <c r="O95" s="92"/>
      <c r="P95" s="91"/>
      <c r="Q95" s="23" t="s">
        <v>24</v>
      </c>
      <c r="R95" s="94"/>
      <c r="S95" s="91"/>
      <c r="T95" s="23" t="s">
        <v>24</v>
      </c>
      <c r="U95" s="94"/>
      <c r="W95" t="b">
        <f t="shared" si="8"/>
        <v>0</v>
      </c>
      <c r="X95" t="b">
        <f t="shared" si="9"/>
        <v>0</v>
      </c>
    </row>
    <row r="96" spans="2:24" x14ac:dyDescent="0.25">
      <c r="B96" s="22">
        <f t="shared" si="10"/>
        <v>0.5625</v>
      </c>
      <c r="C96" s="21" t="s">
        <v>113</v>
      </c>
      <c r="D96" s="21" t="str">
        <f>IFERROR(VLOOKUP(F94,$B$124:$C$135,2,FALSE),"GHF5")</f>
        <v>GHF5</v>
      </c>
      <c r="E96" s="21" t="str">
        <f>IFERROR(VLOOKUP(K94,$B$124:$C$135,2,FALSE),"GHF6")</f>
        <v>GHF6</v>
      </c>
      <c r="F96" s="110" t="str">
        <f>IF(W89=X89,"Gewinner HF3",IF(W89&gt;X89,F89,K89))</f>
        <v>Gewinner HF3</v>
      </c>
      <c r="G96" s="110"/>
      <c r="H96" s="110"/>
      <c r="I96" s="110"/>
      <c r="J96" s="21" t="s">
        <v>24</v>
      </c>
      <c r="K96" s="110" t="str">
        <f>IF(W90=X90,"Gewinner HF4",IF(W90&gt;X90,F90,K90))</f>
        <v>Gewinner HF4</v>
      </c>
      <c r="L96" s="110"/>
      <c r="M96" s="89"/>
      <c r="N96" s="21" t="s">
        <v>24</v>
      </c>
      <c r="O96" s="92"/>
      <c r="P96" s="91"/>
      <c r="Q96" s="23" t="s">
        <v>24</v>
      </c>
      <c r="R96" s="94"/>
      <c r="S96" s="91"/>
      <c r="T96" s="23" t="s">
        <v>24</v>
      </c>
      <c r="U96" s="94"/>
      <c r="W96" t="b">
        <f t="shared" si="8"/>
        <v>0</v>
      </c>
      <c r="X96" t="b">
        <f t="shared" si="9"/>
        <v>0</v>
      </c>
    </row>
    <row r="97" spans="2:24" x14ac:dyDescent="0.25">
      <c r="B97" s="22">
        <f t="shared" si="10"/>
        <v>0.58333333333333337</v>
      </c>
      <c r="C97" s="21" t="s">
        <v>34</v>
      </c>
      <c r="D97" s="21" t="str">
        <f>IFERROR(VLOOKUP(F95,$B$124:$C$135,2,FALSE),"VHF3")</f>
        <v>VHF3</v>
      </c>
      <c r="E97" s="21" t="str">
        <f>IFERROR(VLOOKUP(K95,$B$124:$C$135,2,FALSE),"VHF4")</f>
        <v>VHF4</v>
      </c>
      <c r="F97" s="110" t="str">
        <f>IF(W91=X91,"Verlierer HF1",IF(W91&gt;X91,K91,F91))</f>
        <v>Verlierer HF1</v>
      </c>
      <c r="G97" s="110"/>
      <c r="H97" s="110"/>
      <c r="I97" s="110"/>
      <c r="J97" s="21" t="s">
        <v>24</v>
      </c>
      <c r="K97" s="110" t="str">
        <f>IF(W92=X92,"Verlierer HF2",IF(W92&gt;X92,K92,F92))</f>
        <v>Verlierer HF2</v>
      </c>
      <c r="L97" s="110"/>
      <c r="M97" s="89"/>
      <c r="N97" s="21" t="s">
        <v>24</v>
      </c>
      <c r="O97" s="92"/>
      <c r="P97" s="91"/>
      <c r="Q97" s="23" t="s">
        <v>24</v>
      </c>
      <c r="R97" s="94"/>
      <c r="S97" s="91"/>
      <c r="T97" s="23" t="s">
        <v>24</v>
      </c>
      <c r="U97" s="94"/>
      <c r="W97" t="b">
        <f t="shared" si="8"/>
        <v>0</v>
      </c>
      <c r="X97" t="b">
        <f t="shared" si="9"/>
        <v>0</v>
      </c>
    </row>
    <row r="98" spans="2:24" x14ac:dyDescent="0.25">
      <c r="B98" s="22">
        <f t="shared" si="10"/>
        <v>0.60416666666666674</v>
      </c>
      <c r="C98" s="21" t="s">
        <v>35</v>
      </c>
      <c r="D98" s="21" t="str">
        <f>IFERROR(VLOOKUP(F96,$B$124:$C$135,2,FALSE),"GHF3")</f>
        <v>GHF3</v>
      </c>
      <c r="E98" s="21" t="str">
        <f>IFERROR(VLOOKUP(K96,$B$124:$C$135,2,FALSE),"GHF4")</f>
        <v>GHF4</v>
      </c>
      <c r="F98" s="110" t="str">
        <f>IF(W91=X91,"Gewinner HF1",IF(W91&gt;X91,F91,K91))</f>
        <v>Gewinner HF1</v>
      </c>
      <c r="G98" s="110"/>
      <c r="H98" s="110"/>
      <c r="I98" s="110"/>
      <c r="J98" s="21" t="s">
        <v>24</v>
      </c>
      <c r="K98" s="110" t="str">
        <f>IF(W92=X92,"Gewinner HF2",IF(W92&gt;X92,F92,K92))</f>
        <v>Gewinner HF2</v>
      </c>
      <c r="L98" s="110"/>
      <c r="M98" s="89"/>
      <c r="N98" s="21" t="s">
        <v>24</v>
      </c>
      <c r="O98" s="92"/>
      <c r="P98" s="93"/>
      <c r="Q98" s="35" t="s">
        <v>24</v>
      </c>
      <c r="R98" s="95"/>
      <c r="S98" s="93"/>
      <c r="T98" s="35" t="s">
        <v>24</v>
      </c>
      <c r="U98" s="95"/>
      <c r="W98" t="b">
        <f t="shared" si="8"/>
        <v>0</v>
      </c>
      <c r="X98" t="b">
        <f t="shared" si="9"/>
        <v>0</v>
      </c>
    </row>
    <row r="101" spans="2:24" x14ac:dyDescent="0.25">
      <c r="B101" s="120" t="s">
        <v>60</v>
      </c>
      <c r="C101" s="121"/>
      <c r="D101" s="121"/>
      <c r="E101" s="121"/>
      <c r="F101" s="121"/>
      <c r="G101" s="121"/>
      <c r="H101" s="121"/>
      <c r="I101" s="121"/>
      <c r="J101" s="121"/>
      <c r="K101" s="122"/>
    </row>
    <row r="102" spans="2:24" x14ac:dyDescent="0.25">
      <c r="B102" s="30" t="s">
        <v>59</v>
      </c>
      <c r="C102" s="36" t="s">
        <v>33</v>
      </c>
      <c r="D102" s="34"/>
      <c r="E102" s="34"/>
      <c r="F102" s="34"/>
      <c r="G102" s="34"/>
      <c r="H102" s="34"/>
      <c r="I102" s="34"/>
      <c r="J102" s="34"/>
      <c r="K102" s="37"/>
    </row>
    <row r="103" spans="2:24" x14ac:dyDescent="0.25">
      <c r="B103" s="9">
        <v>1</v>
      </c>
      <c r="C103" s="100" t="str">
        <f>IF(W98=X98,"Gewinner Spiel um Platz 1",IF(W98&gt;X98,F98,K98))</f>
        <v>Gewinner Spiel um Platz 1</v>
      </c>
      <c r="D103" s="100"/>
      <c r="E103" s="100"/>
      <c r="F103" s="100"/>
      <c r="G103" s="100"/>
      <c r="H103" s="100"/>
      <c r="I103" s="100"/>
      <c r="J103" s="100"/>
      <c r="K103" s="119"/>
    </row>
    <row r="104" spans="2:24" x14ac:dyDescent="0.25">
      <c r="B104" s="9">
        <v>2</v>
      </c>
      <c r="C104" s="100" t="str">
        <f>IF(W98=X98,"Verlierer Spiel um Platz 1",IF(W98&gt;X98,K98,F98))</f>
        <v>Verlierer Spiel um Platz 1</v>
      </c>
      <c r="D104" s="100"/>
      <c r="E104" s="100"/>
      <c r="F104" s="100"/>
      <c r="G104" s="100"/>
      <c r="H104" s="100"/>
      <c r="I104" s="100"/>
      <c r="J104" s="100"/>
      <c r="K104" s="119"/>
    </row>
    <row r="105" spans="2:24" x14ac:dyDescent="0.25">
      <c r="B105" s="9">
        <v>3</v>
      </c>
      <c r="C105" s="100" t="str">
        <f>IF(W97=X97,"Gewinner Spiel um Platz 3",IF(W97&gt;X97,F97,K97))</f>
        <v>Gewinner Spiel um Platz 3</v>
      </c>
      <c r="D105" s="100"/>
      <c r="E105" s="100"/>
      <c r="F105" s="100"/>
      <c r="G105" s="100"/>
      <c r="H105" s="100"/>
      <c r="I105" s="100"/>
      <c r="J105" s="100"/>
      <c r="K105" s="119"/>
    </row>
    <row r="106" spans="2:24" x14ac:dyDescent="0.25">
      <c r="B106" s="9">
        <v>4</v>
      </c>
      <c r="C106" s="100" t="str">
        <f>IF(W97=X97,"Verlierer Spiel um Platz 3",IF(W97&gt;X97,K97,F97))</f>
        <v>Verlierer Spiel um Platz 3</v>
      </c>
      <c r="D106" s="100"/>
      <c r="E106" s="100"/>
      <c r="F106" s="100"/>
      <c r="G106" s="100"/>
      <c r="H106" s="100"/>
      <c r="I106" s="100"/>
      <c r="J106" s="100"/>
      <c r="K106" s="119"/>
    </row>
    <row r="107" spans="2:24" x14ac:dyDescent="0.25">
      <c r="B107" s="9">
        <v>5</v>
      </c>
      <c r="C107" s="100" t="str">
        <f>IF(W96=X96,"Gewinner Spiel um Platz 5",IF(W96&gt;X96,F96,K96))</f>
        <v>Gewinner Spiel um Platz 5</v>
      </c>
      <c r="D107" s="100"/>
      <c r="E107" s="100"/>
      <c r="F107" s="100"/>
      <c r="G107" s="100"/>
      <c r="H107" s="100"/>
      <c r="I107" s="100"/>
      <c r="J107" s="100"/>
      <c r="K107" s="119"/>
    </row>
    <row r="108" spans="2:24" x14ac:dyDescent="0.25">
      <c r="B108" s="9">
        <v>6</v>
      </c>
      <c r="C108" s="100" t="str">
        <f>IF(W96=X96,"Verlierer Spiel um Platz 5",IF(W96&gt;X96,K96,F96))</f>
        <v>Verlierer Spiel um Platz 5</v>
      </c>
      <c r="D108" s="100"/>
      <c r="E108" s="100"/>
      <c r="F108" s="100"/>
      <c r="G108" s="100"/>
      <c r="H108" s="100"/>
      <c r="I108" s="100"/>
      <c r="J108" s="100"/>
      <c r="K108" s="119"/>
    </row>
    <row r="109" spans="2:24" x14ac:dyDescent="0.25">
      <c r="B109" s="9">
        <v>7</v>
      </c>
      <c r="C109" s="100" t="str">
        <f>IF(W95=X95,"Gewinner Spiel um Platz 7",IF(W95&gt;X95,F95,K95))</f>
        <v>Gewinner Spiel um Platz 7</v>
      </c>
      <c r="D109" s="100"/>
      <c r="E109" s="100"/>
      <c r="F109" s="100"/>
      <c r="G109" s="100"/>
      <c r="H109" s="100"/>
      <c r="I109" s="100"/>
      <c r="J109" s="100"/>
      <c r="K109" s="119"/>
    </row>
    <row r="110" spans="2:24" x14ac:dyDescent="0.25">
      <c r="B110" s="9">
        <v>8</v>
      </c>
      <c r="C110" s="100" t="str">
        <f>IF(W95=X95,"Verlierer Spiel um Platz 7",IF(W95&gt;X95,K95,F95))</f>
        <v>Verlierer Spiel um Platz 7</v>
      </c>
      <c r="D110" s="100"/>
      <c r="E110" s="100"/>
      <c r="F110" s="100"/>
      <c r="G110" s="100"/>
      <c r="H110" s="100"/>
      <c r="I110" s="100"/>
      <c r="J110" s="100"/>
      <c r="K110" s="119"/>
    </row>
    <row r="111" spans="2:24" x14ac:dyDescent="0.25">
      <c r="B111" s="9">
        <v>9</v>
      </c>
      <c r="C111" s="100" t="str">
        <f>IF(W94=X94,"Gewinner Spiel um Platz 9",IF(W94&gt;X94,F94,K94))</f>
        <v>Gewinner Spiel um Platz 9</v>
      </c>
      <c r="D111" s="100"/>
      <c r="E111" s="100"/>
      <c r="F111" s="100"/>
      <c r="G111" s="100"/>
      <c r="H111" s="100"/>
      <c r="I111" s="100"/>
      <c r="J111" s="100"/>
      <c r="K111" s="119"/>
    </row>
    <row r="112" spans="2:24" x14ac:dyDescent="0.25">
      <c r="B112" s="9">
        <v>10</v>
      </c>
      <c r="C112" s="100" t="str">
        <f>IF(W94=X94,"Verlierer Spiel um Platz 9",IF(W94&gt;X94,K94,F94))</f>
        <v>Verlierer Spiel um Platz 9</v>
      </c>
      <c r="D112" s="100"/>
      <c r="E112" s="100"/>
      <c r="F112" s="100"/>
      <c r="G112" s="100"/>
      <c r="H112" s="100"/>
      <c r="I112" s="100"/>
      <c r="J112" s="100"/>
      <c r="K112" s="119"/>
    </row>
    <row r="113" spans="2:11" x14ac:dyDescent="0.25">
      <c r="B113" s="9">
        <v>11</v>
      </c>
      <c r="C113" s="100" t="str">
        <f>IF(W93=X93,"Gewinner Spiel um Platz 11",IF(W93&gt;X93,F93,K93))</f>
        <v>Gewinner Spiel um Platz 11</v>
      </c>
      <c r="D113" s="100"/>
      <c r="E113" s="100"/>
      <c r="F113" s="100"/>
      <c r="G113" s="100"/>
      <c r="H113" s="100"/>
      <c r="I113" s="100"/>
      <c r="J113" s="100"/>
      <c r="K113" s="119"/>
    </row>
    <row r="114" spans="2:11" x14ac:dyDescent="0.25">
      <c r="B114" s="9">
        <v>12</v>
      </c>
      <c r="C114" s="100" t="str">
        <f>IF(W93=X93,"Verlierer Spiel um Platz 11",IF(W93&gt;X93,K93,F93))</f>
        <v>Verlierer Spiel um Platz 11</v>
      </c>
      <c r="D114" s="100"/>
      <c r="E114" s="100"/>
      <c r="F114" s="100"/>
      <c r="G114" s="100"/>
      <c r="H114" s="100"/>
      <c r="I114" s="100"/>
      <c r="J114" s="100"/>
      <c r="K114" s="119"/>
    </row>
    <row r="124" spans="2:11" hidden="1" x14ac:dyDescent="0.25">
      <c r="B124" t="s">
        <v>61</v>
      </c>
      <c r="C124" t="s">
        <v>67</v>
      </c>
    </row>
    <row r="125" spans="2:11" hidden="1" x14ac:dyDescent="0.25">
      <c r="B125" t="s">
        <v>62</v>
      </c>
      <c r="C125" t="s">
        <v>68</v>
      </c>
    </row>
    <row r="126" spans="2:11" hidden="1" x14ac:dyDescent="0.25">
      <c r="B126" t="s">
        <v>63</v>
      </c>
      <c r="C126" t="s">
        <v>69</v>
      </c>
    </row>
    <row r="127" spans="2:11" hidden="1" x14ac:dyDescent="0.25">
      <c r="B127" t="s">
        <v>64</v>
      </c>
      <c r="C127" t="s">
        <v>70</v>
      </c>
    </row>
    <row r="128" spans="2:11" hidden="1" x14ac:dyDescent="0.25">
      <c r="B128" t="s">
        <v>65</v>
      </c>
      <c r="C128" t="s">
        <v>71</v>
      </c>
    </row>
    <row r="129" spans="2:3" hidden="1" x14ac:dyDescent="0.25">
      <c r="B129" t="s">
        <v>66</v>
      </c>
      <c r="C129" t="s">
        <v>72</v>
      </c>
    </row>
    <row r="130" spans="2:3" hidden="1" x14ac:dyDescent="0.25">
      <c r="B130" t="s">
        <v>76</v>
      </c>
      <c r="C130" t="s">
        <v>82</v>
      </c>
    </row>
    <row r="131" spans="2:3" hidden="1" x14ac:dyDescent="0.25">
      <c r="B131" t="s">
        <v>77</v>
      </c>
      <c r="C131" t="s">
        <v>83</v>
      </c>
    </row>
    <row r="132" spans="2:3" hidden="1" x14ac:dyDescent="0.25">
      <c r="B132" t="s">
        <v>78</v>
      </c>
      <c r="C132" t="s">
        <v>84</v>
      </c>
    </row>
    <row r="133" spans="2:3" hidden="1" x14ac:dyDescent="0.25">
      <c r="B133" t="s">
        <v>79</v>
      </c>
      <c r="C133" t="s">
        <v>85</v>
      </c>
    </row>
    <row r="134" spans="2:3" hidden="1" x14ac:dyDescent="0.25">
      <c r="B134" t="s">
        <v>80</v>
      </c>
      <c r="C134" t="s">
        <v>86</v>
      </c>
    </row>
    <row r="135" spans="2:3" hidden="1" x14ac:dyDescent="0.25">
      <c r="B135" t="s">
        <v>81</v>
      </c>
      <c r="C135" t="s">
        <v>87</v>
      </c>
    </row>
    <row r="136" spans="2:3" hidden="1" x14ac:dyDescent="0.25"/>
    <row r="137" spans="2:3" hidden="1" x14ac:dyDescent="0.25"/>
    <row r="138" spans="2:3" hidden="1" x14ac:dyDescent="0.25"/>
    <row r="139" spans="2:3" hidden="1" x14ac:dyDescent="0.25"/>
  </sheetData>
  <mergeCells count="153">
    <mergeCell ref="C111:K111"/>
    <mergeCell ref="C112:K112"/>
    <mergeCell ref="C113:K113"/>
    <mergeCell ref="C114:K114"/>
    <mergeCell ref="B101:K101"/>
    <mergeCell ref="C103:K103"/>
    <mergeCell ref="C104:K104"/>
    <mergeCell ref="C105:K105"/>
    <mergeCell ref="C106:K106"/>
    <mergeCell ref="C107:K107"/>
    <mergeCell ref="C108:K108"/>
    <mergeCell ref="C109:K109"/>
    <mergeCell ref="C110:K110"/>
    <mergeCell ref="F98:I98"/>
    <mergeCell ref="K98:L98"/>
    <mergeCell ref="P85:R86"/>
    <mergeCell ref="K93:L93"/>
    <mergeCell ref="F94:I94"/>
    <mergeCell ref="K94:L94"/>
    <mergeCell ref="F95:I95"/>
    <mergeCell ref="K95:L95"/>
    <mergeCell ref="F96:I96"/>
    <mergeCell ref="K96:L96"/>
    <mergeCell ref="F97:I97"/>
    <mergeCell ref="K97:L97"/>
    <mergeCell ref="F93:I93"/>
    <mergeCell ref="M85:O86"/>
    <mergeCell ref="F90:I90"/>
    <mergeCell ref="F91:I91"/>
    <mergeCell ref="F92:I92"/>
    <mergeCell ref="K87:L87"/>
    <mergeCell ref="K88:L88"/>
    <mergeCell ref="K89:L89"/>
    <mergeCell ref="K90:L90"/>
    <mergeCell ref="K91:L91"/>
    <mergeCell ref="F87:I87"/>
    <mergeCell ref="F88:I88"/>
    <mergeCell ref="J76:K76"/>
    <mergeCell ref="C77:E77"/>
    <mergeCell ref="J77:K77"/>
    <mergeCell ref="F59:I59"/>
    <mergeCell ref="K59:L59"/>
    <mergeCell ref="F60:I60"/>
    <mergeCell ref="K60:L60"/>
    <mergeCell ref="F61:I61"/>
    <mergeCell ref="K61:L61"/>
    <mergeCell ref="F62:I62"/>
    <mergeCell ref="K62:L62"/>
    <mergeCell ref="F63:I63"/>
    <mergeCell ref="K63:L63"/>
    <mergeCell ref="F68:I68"/>
    <mergeCell ref="K68:L68"/>
    <mergeCell ref="J71:K71"/>
    <mergeCell ref="C72:E72"/>
    <mergeCell ref="J72:K72"/>
    <mergeCell ref="C74:E74"/>
    <mergeCell ref="J74:K74"/>
    <mergeCell ref="C75:E75"/>
    <mergeCell ref="J75:K75"/>
    <mergeCell ref="C76:E76"/>
    <mergeCell ref="C73:E73"/>
    <mergeCell ref="J73:K73"/>
    <mergeCell ref="C39:E39"/>
    <mergeCell ref="C45:E45"/>
    <mergeCell ref="C46:E46"/>
    <mergeCell ref="C47:E47"/>
    <mergeCell ref="C48:E48"/>
    <mergeCell ref="C49:E49"/>
    <mergeCell ref="C50:E50"/>
    <mergeCell ref="F54:I54"/>
    <mergeCell ref="K54:L54"/>
    <mergeCell ref="F55:I55"/>
    <mergeCell ref="K55:L55"/>
    <mergeCell ref="F66:I66"/>
    <mergeCell ref="K66:L66"/>
    <mergeCell ref="F67:I67"/>
    <mergeCell ref="K67:L67"/>
    <mergeCell ref="K29:L29"/>
    <mergeCell ref="F64:I64"/>
    <mergeCell ref="K64:L64"/>
    <mergeCell ref="F65:I65"/>
    <mergeCell ref="K65:L65"/>
    <mergeCell ref="F56:I56"/>
    <mergeCell ref="K56:L56"/>
    <mergeCell ref="F57:I57"/>
    <mergeCell ref="K57:L57"/>
    <mergeCell ref="F58:I58"/>
    <mergeCell ref="K58:L58"/>
    <mergeCell ref="B2:U2"/>
    <mergeCell ref="B4:U4"/>
    <mergeCell ref="C7:E7"/>
    <mergeCell ref="C8:E8"/>
    <mergeCell ref="C9:E9"/>
    <mergeCell ref="C10:E10"/>
    <mergeCell ref="C11:E11"/>
    <mergeCell ref="S85:U86"/>
    <mergeCell ref="D86:E86"/>
    <mergeCell ref="B80:U80"/>
    <mergeCell ref="B82:U82"/>
    <mergeCell ref="F86:I86"/>
    <mergeCell ref="F16:I16"/>
    <mergeCell ref="F17:I17"/>
    <mergeCell ref="F18:I18"/>
    <mergeCell ref="F19:I19"/>
    <mergeCell ref="F20:I20"/>
    <mergeCell ref="F21:I21"/>
    <mergeCell ref="F22:I22"/>
    <mergeCell ref="F23:I23"/>
    <mergeCell ref="C34:E34"/>
    <mergeCell ref="F29:I29"/>
    <mergeCell ref="F30:I30"/>
    <mergeCell ref="K28:L28"/>
    <mergeCell ref="K92:L92"/>
    <mergeCell ref="F15:I15"/>
    <mergeCell ref="J36:K36"/>
    <mergeCell ref="J37:K37"/>
    <mergeCell ref="J38:K38"/>
    <mergeCell ref="J39:K39"/>
    <mergeCell ref="J33:K33"/>
    <mergeCell ref="J34:K34"/>
    <mergeCell ref="J35:K35"/>
    <mergeCell ref="F28:I28"/>
    <mergeCell ref="K20:L20"/>
    <mergeCell ref="K21:L21"/>
    <mergeCell ref="K22:L22"/>
    <mergeCell ref="K23:L23"/>
    <mergeCell ref="K24:L24"/>
    <mergeCell ref="K25:L25"/>
    <mergeCell ref="F89:I89"/>
    <mergeCell ref="K30:L30"/>
    <mergeCell ref="B42:U42"/>
    <mergeCell ref="D15:E15"/>
    <mergeCell ref="M14:O15"/>
    <mergeCell ref="P14:R15"/>
    <mergeCell ref="K26:L26"/>
    <mergeCell ref="K27:L27"/>
    <mergeCell ref="C12:E12"/>
    <mergeCell ref="K16:L16"/>
    <mergeCell ref="K17:L17"/>
    <mergeCell ref="M52:O53"/>
    <mergeCell ref="P52:R53"/>
    <mergeCell ref="D53:E53"/>
    <mergeCell ref="F53:I53"/>
    <mergeCell ref="F24:I24"/>
    <mergeCell ref="F25:I25"/>
    <mergeCell ref="F26:I26"/>
    <mergeCell ref="F27:I27"/>
    <mergeCell ref="C35:E35"/>
    <mergeCell ref="C36:E36"/>
    <mergeCell ref="C37:E37"/>
    <mergeCell ref="C38:E38"/>
    <mergeCell ref="K18:L18"/>
    <mergeCell ref="K19:L19"/>
  </mergeCells>
  <phoneticPr fontId="3" type="noConversion"/>
  <conditionalFormatting sqref="G34:G39">
    <cfRule type="duplicateValues" dxfId="13" priority="11"/>
  </conditionalFormatting>
  <conditionalFormatting sqref="G72:G77">
    <cfRule type="duplicateValues" dxfId="12" priority="1"/>
  </conditionalFormatting>
  <dataValidations count="2">
    <dataValidation type="list" allowBlank="1" showInputMessage="1" showErrorMessage="1" sqref="C34:C39" xr:uid="{4463E948-896C-4F80-91B8-9E63D800E5CD}">
      <formula1>$C$7:$C$12</formula1>
    </dataValidation>
    <dataValidation type="list" allowBlank="1" showInputMessage="1" showErrorMessage="1" sqref="C72:E77" xr:uid="{16DE4A5B-834A-4725-92C6-86851B8F939C}">
      <formula1>$C$45:$C$50</formula1>
    </dataValidation>
  </dataValidations>
  <pageMargins left="0.70866141732283472" right="0.70866141732283472" top="0.78740157480314965" bottom="0.78740157480314965" header="0.31496062992125984" footer="0.31496062992125984"/>
  <pageSetup paperSize="9" scale="63" pageOrder="overThenDown" orientation="portrait" r:id="rId1"/>
  <rowBreaks count="2" manualBreakCount="2">
    <brk id="40" max="22" man="1"/>
    <brk id="78" max="16383" man="1"/>
  </rowBreaks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0AE45-2C05-4F97-9EBC-C4B385392B39}">
  <dimension ref="A2:R53"/>
  <sheetViews>
    <sheetView showGridLines="0" workbookViewId="0">
      <selection activeCell="M31" sqref="M31"/>
    </sheetView>
  </sheetViews>
  <sheetFormatPr baseColWidth="10" defaultRowHeight="15" x14ac:dyDescent="0.25"/>
  <cols>
    <col min="2" max="2" width="13" customWidth="1"/>
    <col min="3" max="3" width="21.5703125" bestFit="1" customWidth="1"/>
    <col min="13" max="13" width="11.42578125" customWidth="1"/>
  </cols>
  <sheetData>
    <row r="2" spans="1:18" x14ac:dyDescent="0.25">
      <c r="B2" s="79" t="s">
        <v>169</v>
      </c>
      <c r="C2" s="80" t="s">
        <v>144</v>
      </c>
      <c r="E2" s="4" t="s">
        <v>146</v>
      </c>
      <c r="F2" s="4" t="s">
        <v>144</v>
      </c>
    </row>
    <row r="4" spans="1:18" x14ac:dyDescent="0.25">
      <c r="A4" s="79"/>
      <c r="B4" s="7" t="s">
        <v>36</v>
      </c>
      <c r="C4" s="7"/>
      <c r="D4" s="7"/>
      <c r="E4" s="7"/>
      <c r="F4" s="7"/>
      <c r="G4" s="7"/>
      <c r="H4" s="7"/>
      <c r="I4" s="8"/>
      <c r="K4" s="13" t="s">
        <v>143</v>
      </c>
      <c r="L4" s="82"/>
      <c r="M4" s="82"/>
      <c r="N4" s="82"/>
      <c r="O4" s="82"/>
      <c r="P4" s="82"/>
      <c r="Q4" s="82"/>
      <c r="R4" s="83"/>
    </row>
    <row r="5" spans="1:18" x14ac:dyDescent="0.25">
      <c r="K5" s="77" t="s">
        <v>163</v>
      </c>
    </row>
    <row r="6" spans="1:18" x14ac:dyDescent="0.25">
      <c r="B6" s="79" t="s">
        <v>7</v>
      </c>
      <c r="C6" s="80"/>
      <c r="E6" s="4" t="str">
        <f>ADDRESS(26,23,1,1,IF(C2="Tippspiel","Tippspiel_Rechner","Rechner"))&amp;":"&amp;ADDRESS(27,31,1,1)</f>
        <v>Tippspiel_Rechner!$W$26:$AE$27</v>
      </c>
      <c r="K6" s="78" t="s">
        <v>164</v>
      </c>
    </row>
    <row r="7" spans="1:18" x14ac:dyDescent="0.25">
      <c r="B7" s="79" t="s">
        <v>8</v>
      </c>
      <c r="C7" s="80"/>
      <c r="K7" s="77" t="s">
        <v>165</v>
      </c>
    </row>
    <row r="8" spans="1:18" x14ac:dyDescent="0.25">
      <c r="K8" s="78" t="s">
        <v>160</v>
      </c>
    </row>
    <row r="9" spans="1:18" x14ac:dyDescent="0.25">
      <c r="B9" s="79" t="s">
        <v>40</v>
      </c>
      <c r="C9" s="7" t="s">
        <v>33</v>
      </c>
      <c r="D9" s="7" t="s">
        <v>25</v>
      </c>
      <c r="E9" s="7" t="s">
        <v>26</v>
      </c>
      <c r="F9" s="7" t="s">
        <v>27</v>
      </c>
      <c r="G9" s="7" t="s">
        <v>39</v>
      </c>
      <c r="H9" s="8" t="s">
        <v>31</v>
      </c>
      <c r="K9" s="77" t="s">
        <v>166</v>
      </c>
    </row>
    <row r="10" spans="1:18" x14ac:dyDescent="0.25">
      <c r="B10" s="46">
        <v>1</v>
      </c>
      <c r="C10" s="41" t="str">
        <f t="shared" ref="C10:H11" ca="1" si="0">IFERROR(VLOOKUP($B10,INDIRECT($E$6),COLUMN(),FALSE),"")</f>
        <v/>
      </c>
      <c r="D10" s="41" t="str">
        <f t="shared" ca="1" si="0"/>
        <v/>
      </c>
      <c r="E10" s="41" t="str">
        <f t="shared" ca="1" si="0"/>
        <v/>
      </c>
      <c r="F10" s="41" t="str">
        <f t="shared" ca="1" si="0"/>
        <v/>
      </c>
      <c r="G10" s="41" t="str">
        <f t="shared" ca="1" si="0"/>
        <v/>
      </c>
      <c r="H10" s="48" t="str">
        <f t="shared" ca="1" si="0"/>
        <v/>
      </c>
      <c r="K10" s="77" t="s">
        <v>167</v>
      </c>
    </row>
    <row r="11" spans="1:18" x14ac:dyDescent="0.25">
      <c r="B11" s="46">
        <v>2</v>
      </c>
      <c r="C11" s="41" t="str">
        <f t="shared" ca="1" si="0"/>
        <v>Querrad</v>
      </c>
      <c r="D11" s="41">
        <f t="shared" ca="1" si="0"/>
        <v>0</v>
      </c>
      <c r="E11" s="41">
        <f t="shared" ca="1" si="0"/>
        <v>0</v>
      </c>
      <c r="F11" s="41">
        <f t="shared" ca="1" si="0"/>
        <v>0</v>
      </c>
      <c r="G11" s="41">
        <f t="shared" ca="1" si="0"/>
        <v>0</v>
      </c>
      <c r="H11" s="48">
        <f t="shared" ca="1" si="0"/>
        <v>0</v>
      </c>
      <c r="K11" s="78" t="s">
        <v>161</v>
      </c>
    </row>
    <row r="12" spans="1:18" x14ac:dyDescent="0.25">
      <c r="K12" s="77" t="s">
        <v>168</v>
      </c>
    </row>
    <row r="13" spans="1:18" x14ac:dyDescent="0.25">
      <c r="K13" s="78" t="s">
        <v>162</v>
      </c>
    </row>
    <row r="14" spans="1:18" x14ac:dyDescent="0.25">
      <c r="A14" s="79"/>
      <c r="B14" s="7" t="s">
        <v>41</v>
      </c>
      <c r="C14" s="7"/>
      <c r="D14" s="7"/>
      <c r="E14" s="7"/>
      <c r="F14" s="7"/>
      <c r="G14" s="7"/>
      <c r="H14" s="7"/>
      <c r="I14" s="8"/>
    </row>
    <row r="16" spans="1:18" x14ac:dyDescent="0.25">
      <c r="B16" s="79" t="s">
        <v>7</v>
      </c>
      <c r="C16" s="80"/>
      <c r="E16" s="4" t="str">
        <f>ADDRESS(41,23,1,1,IF(C2="Tippspiel","Tippspiel_Rechner","Rechner"))&amp;":"&amp;ADDRESS(43,31,1,1)</f>
        <v>Tippspiel_Rechner!$W$41:$AE$43</v>
      </c>
    </row>
    <row r="17" spans="1:9" x14ac:dyDescent="0.25">
      <c r="B17" s="79" t="s">
        <v>8</v>
      </c>
      <c r="C17" s="80"/>
    </row>
    <row r="18" spans="1:9" x14ac:dyDescent="0.25">
      <c r="B18" s="79" t="s">
        <v>42</v>
      </c>
      <c r="C18" s="80"/>
    </row>
    <row r="20" spans="1:9" x14ac:dyDescent="0.25">
      <c r="B20" s="81" t="s">
        <v>40</v>
      </c>
      <c r="C20" s="14" t="s">
        <v>33</v>
      </c>
      <c r="D20" s="14" t="s">
        <v>25</v>
      </c>
      <c r="E20" s="14" t="s">
        <v>26</v>
      </c>
      <c r="F20" s="14" t="s">
        <v>27</v>
      </c>
      <c r="G20" s="14" t="s">
        <v>39</v>
      </c>
      <c r="H20" s="15" t="s">
        <v>31</v>
      </c>
    </row>
    <row r="21" spans="1:9" x14ac:dyDescent="0.25">
      <c r="B21" s="46">
        <v>1</v>
      </c>
      <c r="C21" s="41" t="str">
        <f ca="1">IFERROR(VLOOKUP($B21,INDIRECT($E$16),COLUMN(),FALSE),"")</f>
        <v/>
      </c>
      <c r="D21" s="41" t="str">
        <f t="shared" ref="D21:H23" ca="1" si="1">IFERROR(VLOOKUP($B21,INDIRECT($E$16),COLUMN(),FALSE),"")</f>
        <v/>
      </c>
      <c r="E21" s="41" t="str">
        <f t="shared" ca="1" si="1"/>
        <v/>
      </c>
      <c r="F21" s="41" t="str">
        <f t="shared" ca="1" si="1"/>
        <v/>
      </c>
      <c r="G21" s="41" t="str">
        <f t="shared" ca="1" si="1"/>
        <v/>
      </c>
      <c r="H21" s="48" t="str">
        <f t="shared" ca="1" si="1"/>
        <v/>
      </c>
    </row>
    <row r="22" spans="1:9" x14ac:dyDescent="0.25">
      <c r="B22" s="46">
        <v>2</v>
      </c>
      <c r="C22" s="41" t="str">
        <f t="shared" ref="C22:C23" ca="1" si="2">IFERROR(VLOOKUP($B22,INDIRECT($E$16),COLUMN(),FALSE),"")</f>
        <v/>
      </c>
      <c r="D22" s="41" t="str">
        <f t="shared" ca="1" si="1"/>
        <v/>
      </c>
      <c r="E22" s="41" t="str">
        <f t="shared" ca="1" si="1"/>
        <v/>
      </c>
      <c r="F22" s="41" t="str">
        <f t="shared" ca="1" si="1"/>
        <v/>
      </c>
      <c r="G22" s="41" t="str">
        <f t="shared" ca="1" si="1"/>
        <v/>
      </c>
      <c r="H22" s="48" t="str">
        <f t="shared" ca="1" si="1"/>
        <v/>
      </c>
    </row>
    <row r="23" spans="1:9" x14ac:dyDescent="0.25">
      <c r="B23" s="46">
        <v>3</v>
      </c>
      <c r="C23" s="41" t="str">
        <f t="shared" ca="1" si="2"/>
        <v/>
      </c>
      <c r="D23" s="41" t="str">
        <f t="shared" ca="1" si="1"/>
        <v/>
      </c>
      <c r="E23" s="41" t="str">
        <f t="shared" ca="1" si="1"/>
        <v/>
      </c>
      <c r="F23" s="41" t="str">
        <f t="shared" ca="1" si="1"/>
        <v/>
      </c>
      <c r="G23" s="41" t="str">
        <f t="shared" ca="1" si="1"/>
        <v/>
      </c>
      <c r="H23" s="48" t="str">
        <f t="shared" ca="1" si="1"/>
        <v/>
      </c>
    </row>
    <row r="26" spans="1:9" x14ac:dyDescent="0.25">
      <c r="A26" s="79"/>
      <c r="B26" s="7" t="s">
        <v>44</v>
      </c>
      <c r="C26" s="7"/>
      <c r="D26" s="7"/>
      <c r="E26" s="7"/>
      <c r="F26" s="7"/>
      <c r="G26" s="7"/>
      <c r="H26" s="7"/>
      <c r="I26" s="8"/>
    </row>
    <row r="28" spans="1:9" x14ac:dyDescent="0.25">
      <c r="B28" s="79" t="s">
        <v>7</v>
      </c>
      <c r="C28" s="80"/>
      <c r="E28" s="4" t="str">
        <f>ADDRESS(57,23,1,1,IF(C2="Tippspiel","Tippspiel_Rechner","Rechner"))&amp;":"&amp;ADDRESS(60,31,1,1)</f>
        <v>Tippspiel_Rechner!$W$57:$AE$60</v>
      </c>
    </row>
    <row r="29" spans="1:9" x14ac:dyDescent="0.25">
      <c r="B29" s="79" t="s">
        <v>8</v>
      </c>
      <c r="C29" s="80"/>
    </row>
    <row r="30" spans="1:9" x14ac:dyDescent="0.25">
      <c r="B30" s="79" t="s">
        <v>42</v>
      </c>
      <c r="C30" s="80"/>
    </row>
    <row r="31" spans="1:9" x14ac:dyDescent="0.25">
      <c r="B31" s="79" t="s">
        <v>45</v>
      </c>
      <c r="C31" s="80"/>
    </row>
    <row r="33" spans="1:9" x14ac:dyDescent="0.25">
      <c r="B33" s="81" t="s">
        <v>40</v>
      </c>
      <c r="C33" s="14" t="s">
        <v>33</v>
      </c>
      <c r="D33" s="14" t="s">
        <v>25</v>
      </c>
      <c r="E33" s="14" t="s">
        <v>26</v>
      </c>
      <c r="F33" s="14" t="s">
        <v>27</v>
      </c>
      <c r="G33" s="14" t="s">
        <v>39</v>
      </c>
      <c r="H33" s="15" t="s">
        <v>31</v>
      </c>
    </row>
    <row r="34" spans="1:9" x14ac:dyDescent="0.25">
      <c r="B34" s="46">
        <v>1</v>
      </c>
      <c r="C34" s="41" t="str">
        <f ca="1">IFERROR(VLOOKUP($B34,INDIRECT($E$28),COLUMN(),FALSE),"")</f>
        <v/>
      </c>
      <c r="D34" s="41" t="str">
        <f t="shared" ref="D34:H37" ca="1" si="3">IFERROR(VLOOKUP($B34,INDIRECT($E$28),COLUMN(),FALSE),"")</f>
        <v/>
      </c>
      <c r="E34" s="41" t="str">
        <f t="shared" ca="1" si="3"/>
        <v/>
      </c>
      <c r="F34" s="41" t="str">
        <f t="shared" ca="1" si="3"/>
        <v/>
      </c>
      <c r="G34" s="41" t="str">
        <f t="shared" ca="1" si="3"/>
        <v/>
      </c>
      <c r="H34" s="48" t="str">
        <f t="shared" ca="1" si="3"/>
        <v/>
      </c>
    </row>
    <row r="35" spans="1:9" x14ac:dyDescent="0.25">
      <c r="B35" s="46">
        <v>2</v>
      </c>
      <c r="C35" s="41" t="str">
        <f t="shared" ref="C35:C37" ca="1" si="4">IFERROR(VLOOKUP($B35,INDIRECT($E$28),COLUMN(),FALSE),"")</f>
        <v/>
      </c>
      <c r="D35" s="41" t="str">
        <f t="shared" ca="1" si="3"/>
        <v/>
      </c>
      <c r="E35" s="41" t="str">
        <f t="shared" ca="1" si="3"/>
        <v/>
      </c>
      <c r="F35" s="41" t="str">
        <f t="shared" ca="1" si="3"/>
        <v/>
      </c>
      <c r="G35" s="41" t="str">
        <f t="shared" ca="1" si="3"/>
        <v/>
      </c>
      <c r="H35" s="48" t="str">
        <f t="shared" ca="1" si="3"/>
        <v/>
      </c>
    </row>
    <row r="36" spans="1:9" x14ac:dyDescent="0.25">
      <c r="B36" s="46">
        <v>3</v>
      </c>
      <c r="C36" s="41" t="str">
        <f t="shared" ca="1" si="4"/>
        <v/>
      </c>
      <c r="D36" s="41" t="str">
        <f t="shared" ca="1" si="3"/>
        <v/>
      </c>
      <c r="E36" s="41" t="str">
        <f t="shared" ca="1" si="3"/>
        <v/>
      </c>
      <c r="F36" s="41" t="str">
        <f t="shared" ca="1" si="3"/>
        <v/>
      </c>
      <c r="G36" s="41" t="str">
        <f t="shared" ca="1" si="3"/>
        <v/>
      </c>
      <c r="H36" s="48" t="str">
        <f t="shared" ca="1" si="3"/>
        <v/>
      </c>
    </row>
    <row r="37" spans="1:9" x14ac:dyDescent="0.25">
      <c r="B37" s="46">
        <v>4</v>
      </c>
      <c r="C37" s="41" t="str">
        <f t="shared" ca="1" si="4"/>
        <v/>
      </c>
      <c r="D37" s="41" t="str">
        <f t="shared" ca="1" si="3"/>
        <v/>
      </c>
      <c r="E37" s="41" t="str">
        <f t="shared" ca="1" si="3"/>
        <v/>
      </c>
      <c r="F37" s="41" t="str">
        <f t="shared" ca="1" si="3"/>
        <v/>
      </c>
      <c r="G37" s="41" t="str">
        <f t="shared" ca="1" si="3"/>
        <v/>
      </c>
      <c r="H37" s="48" t="str">
        <f t="shared" ca="1" si="3"/>
        <v/>
      </c>
    </row>
    <row r="40" spans="1:9" x14ac:dyDescent="0.25">
      <c r="A40" s="79"/>
      <c r="B40" s="7" t="s">
        <v>47</v>
      </c>
      <c r="C40" s="7"/>
      <c r="D40" s="7"/>
      <c r="E40" s="7"/>
      <c r="F40" s="7"/>
      <c r="G40" s="7"/>
      <c r="H40" s="7"/>
      <c r="I40" s="8"/>
    </row>
    <row r="42" spans="1:9" x14ac:dyDescent="0.25">
      <c r="B42" s="79" t="s">
        <v>7</v>
      </c>
      <c r="C42" s="80"/>
      <c r="E42" s="4" t="str">
        <f>ADDRESS(74,23,1,1,IF(C2="Tippspiel","Tippspiel_Rechner","Rechner"))&amp;":"&amp;ADDRESS(78,31,1,1)</f>
        <v>Tippspiel_Rechner!$W$74:$AE$78</v>
      </c>
    </row>
    <row r="43" spans="1:9" x14ac:dyDescent="0.25">
      <c r="B43" s="79" t="s">
        <v>8</v>
      </c>
      <c r="C43" s="80"/>
    </row>
    <row r="44" spans="1:9" x14ac:dyDescent="0.25">
      <c r="B44" s="79" t="s">
        <v>42</v>
      </c>
      <c r="C44" s="80"/>
    </row>
    <row r="45" spans="1:9" x14ac:dyDescent="0.25">
      <c r="B45" s="79" t="s">
        <v>45</v>
      </c>
      <c r="C45" s="80"/>
    </row>
    <row r="46" spans="1:9" x14ac:dyDescent="0.25">
      <c r="B46" s="79" t="s">
        <v>48</v>
      </c>
      <c r="C46" s="80"/>
    </row>
    <row r="48" spans="1:9" x14ac:dyDescent="0.25">
      <c r="B48" s="81" t="s">
        <v>40</v>
      </c>
      <c r="C48" s="14" t="s">
        <v>33</v>
      </c>
      <c r="D48" s="14" t="s">
        <v>25</v>
      </c>
      <c r="E48" s="14" t="s">
        <v>26</v>
      </c>
      <c r="F48" s="14" t="s">
        <v>27</v>
      </c>
      <c r="G48" s="14" t="s">
        <v>39</v>
      </c>
      <c r="H48" s="15" t="s">
        <v>31</v>
      </c>
    </row>
    <row r="49" spans="2:8" x14ac:dyDescent="0.25">
      <c r="B49" s="46">
        <v>1</v>
      </c>
      <c r="C49" s="41" t="str">
        <f ca="1">IFERROR(VLOOKUP($B49,INDIRECT($E$42),COLUMN(),FALSE),"")</f>
        <v/>
      </c>
      <c r="D49" s="41" t="str">
        <f t="shared" ref="D49:H53" ca="1" si="5">IFERROR(VLOOKUP($B49,INDIRECT($E$42),COLUMN(),FALSE),"")</f>
        <v/>
      </c>
      <c r="E49" s="41" t="str">
        <f t="shared" ca="1" si="5"/>
        <v/>
      </c>
      <c r="F49" s="41" t="str">
        <f t="shared" ca="1" si="5"/>
        <v/>
      </c>
      <c r="G49" s="41" t="str">
        <f t="shared" ca="1" si="5"/>
        <v/>
      </c>
      <c r="H49" s="48" t="str">
        <f t="shared" ca="1" si="5"/>
        <v/>
      </c>
    </row>
    <row r="50" spans="2:8" x14ac:dyDescent="0.25">
      <c r="B50" s="46">
        <v>2</v>
      </c>
      <c r="C50" s="41" t="str">
        <f t="shared" ref="C50:C53" ca="1" si="6">IFERROR(VLOOKUP($B50,INDIRECT($E$42),COLUMN(),FALSE),"")</f>
        <v/>
      </c>
      <c r="D50" s="41" t="str">
        <f t="shared" ca="1" si="5"/>
        <v/>
      </c>
      <c r="E50" s="41" t="str">
        <f t="shared" ca="1" si="5"/>
        <v/>
      </c>
      <c r="F50" s="41" t="str">
        <f t="shared" ca="1" si="5"/>
        <v/>
      </c>
      <c r="G50" s="41" t="str">
        <f t="shared" ca="1" si="5"/>
        <v/>
      </c>
      <c r="H50" s="48" t="str">
        <f t="shared" ca="1" si="5"/>
        <v/>
      </c>
    </row>
    <row r="51" spans="2:8" x14ac:dyDescent="0.25">
      <c r="B51" s="46">
        <v>3</v>
      </c>
      <c r="C51" s="41" t="str">
        <f t="shared" ca="1" si="6"/>
        <v/>
      </c>
      <c r="D51" s="41" t="str">
        <f t="shared" ca="1" si="5"/>
        <v/>
      </c>
      <c r="E51" s="41" t="str">
        <f t="shared" ca="1" si="5"/>
        <v/>
      </c>
      <c r="F51" s="41" t="str">
        <f t="shared" ca="1" si="5"/>
        <v/>
      </c>
      <c r="G51" s="41" t="str">
        <f t="shared" ca="1" si="5"/>
        <v/>
      </c>
      <c r="H51" s="48" t="str">
        <f t="shared" ca="1" si="5"/>
        <v/>
      </c>
    </row>
    <row r="52" spans="2:8" x14ac:dyDescent="0.25">
      <c r="B52" s="46">
        <v>4</v>
      </c>
      <c r="C52" s="41" t="str">
        <f t="shared" ca="1" si="6"/>
        <v/>
      </c>
      <c r="D52" s="41" t="str">
        <f t="shared" ca="1" si="5"/>
        <v/>
      </c>
      <c r="E52" s="41" t="str">
        <f t="shared" ca="1" si="5"/>
        <v/>
      </c>
      <c r="F52" s="41" t="str">
        <f t="shared" ca="1" si="5"/>
        <v/>
      </c>
      <c r="G52" s="41" t="str">
        <f t="shared" ca="1" si="5"/>
        <v/>
      </c>
      <c r="H52" s="48" t="str">
        <f t="shared" ca="1" si="5"/>
        <v/>
      </c>
    </row>
    <row r="53" spans="2:8" x14ac:dyDescent="0.25">
      <c r="B53" s="46">
        <v>5</v>
      </c>
      <c r="C53" s="41" t="str">
        <f t="shared" ca="1" si="6"/>
        <v/>
      </c>
      <c r="D53" s="41" t="str">
        <f t="shared" ca="1" si="5"/>
        <v/>
      </c>
      <c r="E53" s="41" t="str">
        <f t="shared" ca="1" si="5"/>
        <v/>
      </c>
      <c r="F53" s="41" t="str">
        <f t="shared" ca="1" si="5"/>
        <v/>
      </c>
      <c r="G53" s="41" t="str">
        <f t="shared" ca="1" si="5"/>
        <v/>
      </c>
      <c r="H53" s="48" t="str">
        <f t="shared" ca="1" si="5"/>
        <v/>
      </c>
    </row>
  </sheetData>
  <phoneticPr fontId="3" type="noConversion"/>
  <conditionalFormatting sqref="E10:E11">
    <cfRule type="duplicateValues" dxfId="11" priority="13"/>
  </conditionalFormatting>
  <conditionalFormatting sqref="E21:E23">
    <cfRule type="duplicateValues" dxfId="10" priority="12"/>
  </conditionalFormatting>
  <conditionalFormatting sqref="E34:E37">
    <cfRule type="duplicateValues" dxfId="9" priority="11"/>
  </conditionalFormatting>
  <conditionalFormatting sqref="E49:E53">
    <cfRule type="duplicateValues" dxfId="8" priority="10"/>
  </conditionalFormatting>
  <conditionalFormatting sqref="G10:G11">
    <cfRule type="duplicateValues" dxfId="7" priority="6"/>
  </conditionalFormatting>
  <conditionalFormatting sqref="G21:G23">
    <cfRule type="duplicateValues" dxfId="6" priority="8"/>
  </conditionalFormatting>
  <conditionalFormatting sqref="G34:G37">
    <cfRule type="duplicateValues" dxfId="5" priority="4"/>
  </conditionalFormatting>
  <conditionalFormatting sqref="G49:G53">
    <cfRule type="duplicateValues" dxfId="4" priority="2"/>
  </conditionalFormatting>
  <conditionalFormatting sqref="H10:H11">
    <cfRule type="duplicateValues" dxfId="3" priority="5"/>
  </conditionalFormatting>
  <conditionalFormatting sqref="H21:H23">
    <cfRule type="duplicateValues" dxfId="2" priority="7"/>
  </conditionalFormatting>
  <conditionalFormatting sqref="H34:H37">
    <cfRule type="duplicateValues" dxfId="1" priority="3"/>
  </conditionalFormatting>
  <conditionalFormatting sqref="H49:H53">
    <cfRule type="duplicateValues" dxfId="0" priority="1"/>
  </conditionalFormatting>
  <dataValidations count="1">
    <dataValidation type="list" allowBlank="1" showInputMessage="1" showErrorMessage="1" sqref="C2" xr:uid="{0BD53ED8-2A8D-4106-A208-8E7CC8A40327}">
      <formula1>$E$2:$F$2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4E6150-8C4F-450E-9136-2C4CCF25E07F}">
          <x14:formula1>
            <xm:f>Spielplan!$B$123:$B$135</xm:f>
          </x14:formula1>
          <xm:sqref>C6:C7 C42:C46 C28:C31 C16:C18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7CE2D-DBC8-4FB6-B906-5EFFE04DCF36}">
  <dimension ref="A2:Q102"/>
  <sheetViews>
    <sheetView showGridLines="0" workbookViewId="0"/>
  </sheetViews>
  <sheetFormatPr baseColWidth="10" defaultRowHeight="15" x14ac:dyDescent="0.25"/>
  <cols>
    <col min="1" max="1" width="3.7109375" customWidth="1"/>
    <col min="2" max="3" width="25.7109375" customWidth="1"/>
    <col min="4" max="4" width="6.5703125" customWidth="1"/>
    <col min="5" max="5" width="1.7109375" customWidth="1"/>
    <col min="6" max="7" width="6.5703125" customWidth="1"/>
    <col min="8" max="8" width="1.7109375" customWidth="1"/>
    <col min="9" max="9" width="6.5703125" customWidth="1"/>
    <col min="10" max="10" width="17.42578125" hidden="1" customWidth="1"/>
    <col min="11" max="12" width="11.42578125" hidden="1" customWidth="1"/>
    <col min="15" max="15" width="24.28515625" customWidth="1"/>
    <col min="16" max="17" width="6.42578125" customWidth="1"/>
  </cols>
  <sheetData>
    <row r="2" spans="1:17" x14ac:dyDescent="0.25">
      <c r="B2" s="127" t="s">
        <v>135</v>
      </c>
      <c r="C2" s="128"/>
      <c r="D2" s="124" t="s">
        <v>117</v>
      </c>
      <c r="E2" s="125"/>
      <c r="F2" s="126"/>
      <c r="G2" s="124" t="s">
        <v>118</v>
      </c>
      <c r="H2" s="125"/>
      <c r="I2" s="126"/>
      <c r="J2" s="42" t="s">
        <v>115</v>
      </c>
      <c r="K2" s="45" t="s">
        <v>119</v>
      </c>
      <c r="L2" s="45" t="s">
        <v>116</v>
      </c>
      <c r="M2" s="61" t="s">
        <v>26</v>
      </c>
    </row>
    <row r="3" spans="1:17" ht="15" customHeight="1" x14ac:dyDescent="0.25">
      <c r="A3" s="40"/>
      <c r="B3" s="46" t="s">
        <v>63</v>
      </c>
      <c r="C3" s="41" t="s">
        <v>66</v>
      </c>
      <c r="D3" s="46" t="str">
        <f>IF(ISBLANK(Spielplan!M16),"",Spielplan!M16)</f>
        <v/>
      </c>
      <c r="E3" s="47" t="s">
        <v>24</v>
      </c>
      <c r="F3" s="48" t="str">
        <f>IF(ISBLANK(Spielplan!O16),"",Spielplan!O16)</f>
        <v/>
      </c>
      <c r="G3" s="46" t="str">
        <f>IF(ISBLANK(Tippspiel!M16),"",Tippspiel!M16)</f>
        <v/>
      </c>
      <c r="H3" s="47" t="s">
        <v>24</v>
      </c>
      <c r="I3" s="48" t="str">
        <f>IF(ISBLANK(Tippspiel!O16),"",Tippspiel!O16)</f>
        <v/>
      </c>
      <c r="J3" s="41" t="b">
        <f>NOT(OR(D3="",F3="",G3="",I3=""))</f>
        <v>0</v>
      </c>
      <c r="K3" s="47">
        <f>IF(AND(J3,D3=G3,F3=I3),5,0)</f>
        <v>0</v>
      </c>
      <c r="L3" s="47">
        <f>IF(AND(J3,K3=0,OR(AND(D3&gt;F3,G3&gt;I3),AND(D3&lt;F3,G3&lt;I3),AND(D3=F3,G3=I3))),1,0)</f>
        <v>0</v>
      </c>
      <c r="M3" s="60">
        <f>SUM(K3:L3)</f>
        <v>0</v>
      </c>
      <c r="O3" s="63" t="s">
        <v>135</v>
      </c>
      <c r="P3" s="42">
        <f>SUM(M3:M17)</f>
        <v>0</v>
      </c>
      <c r="Q3" s="66" t="s">
        <v>137</v>
      </c>
    </row>
    <row r="4" spans="1:17" x14ac:dyDescent="0.25">
      <c r="A4" s="40"/>
      <c r="B4" s="46" t="s">
        <v>62</v>
      </c>
      <c r="C4" s="41" t="s">
        <v>65</v>
      </c>
      <c r="D4" s="46" t="str">
        <f>IF(ISBLANK(Spielplan!M17),"",Spielplan!M17)</f>
        <v/>
      </c>
      <c r="E4" s="47" t="s">
        <v>24</v>
      </c>
      <c r="F4" s="48" t="str">
        <f>IF(ISBLANK(Spielplan!O17),"",Spielplan!O17)</f>
        <v/>
      </c>
      <c r="G4" s="46" t="str">
        <f>IF(ISBLANK(Tippspiel!M17),"",Tippspiel!M17)</f>
        <v/>
      </c>
      <c r="H4" s="47" t="s">
        <v>24</v>
      </c>
      <c r="I4" s="48" t="str">
        <f>IF(ISBLANK(Tippspiel!O17),"",Tippspiel!O17)</f>
        <v/>
      </c>
      <c r="J4" s="41" t="b">
        <f t="shared" ref="J4:J17" si="0">NOT(OR(D4="",F4="",G4="",I4=""))</f>
        <v>0</v>
      </c>
      <c r="K4" s="47">
        <f t="shared" ref="K4:K17" si="1">IF(AND(J4,D4=G4,F4=I4),5,0)</f>
        <v>0</v>
      </c>
      <c r="L4" s="47">
        <f t="shared" ref="L4:L17" si="2">IF(AND(J4,K4=0,OR(AND(D4&gt;F4,G4&gt;I4),AND(D4&lt;F4,G4&lt;I4),AND(D4=F4,G4=I4))),1,0)</f>
        <v>0</v>
      </c>
      <c r="M4" s="60">
        <f t="shared" ref="M4:M35" si="3">SUM(K4:L4)</f>
        <v>0</v>
      </c>
      <c r="O4" s="64" t="s">
        <v>136</v>
      </c>
      <c r="P4">
        <f>SUM(M21:M35)</f>
        <v>0</v>
      </c>
      <c r="Q4" s="67" t="s">
        <v>137</v>
      </c>
    </row>
    <row r="5" spans="1:17" x14ac:dyDescent="0.25">
      <c r="A5" s="40"/>
      <c r="B5" s="46" t="s">
        <v>61</v>
      </c>
      <c r="C5" s="41" t="s">
        <v>64</v>
      </c>
      <c r="D5" s="46" t="str">
        <f>IF(ISBLANK(Spielplan!M18),"",Spielplan!M18)</f>
        <v/>
      </c>
      <c r="E5" s="47" t="s">
        <v>24</v>
      </c>
      <c r="F5" s="48" t="str">
        <f>IF(ISBLANK(Spielplan!O18),"",Spielplan!O18)</f>
        <v/>
      </c>
      <c r="G5" s="46" t="str">
        <f>IF(ISBLANK(Tippspiel!M18),"",Tippspiel!M18)</f>
        <v/>
      </c>
      <c r="H5" s="47" t="s">
        <v>24</v>
      </c>
      <c r="I5" s="48" t="str">
        <f>IF(ISBLANK(Tippspiel!O18),"",Tippspiel!O18)</f>
        <v/>
      </c>
      <c r="J5" s="41" t="b">
        <f t="shared" si="0"/>
        <v>0</v>
      </c>
      <c r="K5" s="47">
        <f t="shared" si="1"/>
        <v>0</v>
      </c>
      <c r="L5" s="47">
        <f t="shared" si="2"/>
        <v>0</v>
      </c>
      <c r="M5" s="60">
        <f t="shared" si="3"/>
        <v>0</v>
      </c>
      <c r="O5" s="64" t="s">
        <v>120</v>
      </c>
      <c r="P5">
        <f>SUM(M40,M45,M50,M55,M60,M65)</f>
        <v>0</v>
      </c>
      <c r="Q5" s="67" t="s">
        <v>138</v>
      </c>
    </row>
    <row r="6" spans="1:17" x14ac:dyDescent="0.25">
      <c r="A6" s="40"/>
      <c r="B6" s="46" t="s">
        <v>62</v>
      </c>
      <c r="C6" s="41" t="s">
        <v>63</v>
      </c>
      <c r="D6" s="46" t="str">
        <f>IF(ISBLANK(Spielplan!M19),"",Spielplan!M19)</f>
        <v/>
      </c>
      <c r="E6" s="47" t="s">
        <v>24</v>
      </c>
      <c r="F6" s="48" t="str">
        <f>IF(ISBLANK(Spielplan!O19),"",Spielplan!O19)</f>
        <v/>
      </c>
      <c r="G6" s="46" t="str">
        <f>IF(ISBLANK(Tippspiel!M19),"",Tippspiel!M19)</f>
        <v/>
      </c>
      <c r="H6" s="47" t="s">
        <v>24</v>
      </c>
      <c r="I6" s="48" t="str">
        <f>IF(ISBLANK(Tippspiel!O19),"",Tippspiel!O19)</f>
        <v/>
      </c>
      <c r="J6" s="41" t="b">
        <f t="shared" si="0"/>
        <v>0</v>
      </c>
      <c r="K6" s="47">
        <f t="shared" si="1"/>
        <v>0</v>
      </c>
      <c r="L6" s="47">
        <f t="shared" si="2"/>
        <v>0</v>
      </c>
      <c r="M6" s="60">
        <f t="shared" si="3"/>
        <v>0</v>
      </c>
      <c r="O6" s="64" t="s">
        <v>105</v>
      </c>
      <c r="P6">
        <f>SUM(M70,M75,M80,M85,M90,M95)</f>
        <v>0</v>
      </c>
      <c r="Q6" s="67" t="s">
        <v>138</v>
      </c>
    </row>
    <row r="7" spans="1:17" x14ac:dyDescent="0.25">
      <c r="A7" s="40"/>
      <c r="B7" s="46" t="s">
        <v>64</v>
      </c>
      <c r="C7" s="41" t="s">
        <v>66</v>
      </c>
      <c r="D7" s="46" t="str">
        <f>IF(ISBLANK(Spielplan!M20),"",Spielplan!M20)</f>
        <v/>
      </c>
      <c r="E7" s="47" t="s">
        <v>24</v>
      </c>
      <c r="F7" s="48" t="str">
        <f>IF(ISBLANK(Spielplan!O20),"",Spielplan!O20)</f>
        <v/>
      </c>
      <c r="G7" s="46" t="str">
        <f>IF(ISBLANK(Tippspiel!M20),"",Tippspiel!M20)</f>
        <v/>
      </c>
      <c r="H7" s="47" t="s">
        <v>24</v>
      </c>
      <c r="I7" s="48" t="str">
        <f>IF(ISBLANK(Tippspiel!O20),"",Tippspiel!O20)</f>
        <v/>
      </c>
      <c r="J7" s="41" t="b">
        <f t="shared" si="0"/>
        <v>0</v>
      </c>
      <c r="K7" s="47">
        <f t="shared" si="1"/>
        <v>0</v>
      </c>
      <c r="L7" s="47">
        <f t="shared" si="2"/>
        <v>0</v>
      </c>
      <c r="M7" s="60">
        <f t="shared" si="3"/>
        <v>0</v>
      </c>
      <c r="O7" s="64" t="s">
        <v>139</v>
      </c>
      <c r="P7">
        <f>M100</f>
        <v>0</v>
      </c>
      <c r="Q7" s="67" t="s">
        <v>140</v>
      </c>
    </row>
    <row r="8" spans="1:17" x14ac:dyDescent="0.25">
      <c r="A8" s="40"/>
      <c r="B8" s="46" t="s">
        <v>61</v>
      </c>
      <c r="C8" s="41" t="s">
        <v>65</v>
      </c>
      <c r="D8" s="46" t="str">
        <f>IF(ISBLANK(Spielplan!M21),"",Spielplan!M21)</f>
        <v/>
      </c>
      <c r="E8" s="47" t="s">
        <v>24</v>
      </c>
      <c r="F8" s="48" t="str">
        <f>IF(ISBLANK(Spielplan!O21),"",Spielplan!O21)</f>
        <v/>
      </c>
      <c r="G8" s="46" t="str">
        <f>IF(ISBLANK(Tippspiel!M21),"",Tippspiel!M21)</f>
        <v/>
      </c>
      <c r="H8" s="47" t="s">
        <v>24</v>
      </c>
      <c r="I8" s="48" t="str">
        <f>IF(ISBLANK(Tippspiel!O21),"",Tippspiel!O21)</f>
        <v/>
      </c>
      <c r="J8" s="41" t="b">
        <f t="shared" si="0"/>
        <v>0</v>
      </c>
      <c r="K8" s="47">
        <f t="shared" si="1"/>
        <v>0</v>
      </c>
      <c r="L8" s="47">
        <f t="shared" si="2"/>
        <v>0</v>
      </c>
      <c r="M8" s="60">
        <f t="shared" si="3"/>
        <v>0</v>
      </c>
      <c r="O8" s="65" t="s">
        <v>3</v>
      </c>
      <c r="P8" s="41">
        <f>SUM(P3:P7)</f>
        <v>0</v>
      </c>
      <c r="Q8" s="68" t="s">
        <v>141</v>
      </c>
    </row>
    <row r="9" spans="1:17" x14ac:dyDescent="0.25">
      <c r="A9" s="40"/>
      <c r="B9" s="46" t="s">
        <v>62</v>
      </c>
      <c r="C9" s="41" t="s">
        <v>64</v>
      </c>
      <c r="D9" s="46" t="str">
        <f>IF(ISBLANK(Spielplan!M22),"",Spielplan!M22)</f>
        <v/>
      </c>
      <c r="E9" s="47" t="s">
        <v>24</v>
      </c>
      <c r="F9" s="48" t="str">
        <f>IF(ISBLANK(Spielplan!O22),"",Spielplan!O22)</f>
        <v/>
      </c>
      <c r="G9" s="46" t="str">
        <f>IF(ISBLANK(Tippspiel!M22),"",Tippspiel!M22)</f>
        <v/>
      </c>
      <c r="H9" s="47" t="s">
        <v>24</v>
      </c>
      <c r="I9" s="48" t="str">
        <f>IF(ISBLANK(Tippspiel!O22),"",Tippspiel!O22)</f>
        <v/>
      </c>
      <c r="J9" s="41" t="b">
        <f t="shared" si="0"/>
        <v>0</v>
      </c>
      <c r="K9" s="47">
        <f t="shared" si="1"/>
        <v>0</v>
      </c>
      <c r="L9" s="47">
        <f t="shared" si="2"/>
        <v>0</v>
      </c>
      <c r="M9" s="60">
        <f t="shared" si="3"/>
        <v>0</v>
      </c>
    </row>
    <row r="10" spans="1:17" x14ac:dyDescent="0.25">
      <c r="A10" s="40"/>
      <c r="B10" s="46" t="s">
        <v>63</v>
      </c>
      <c r="C10" s="41" t="s">
        <v>65</v>
      </c>
      <c r="D10" s="46" t="str">
        <f>IF(ISBLANK(Spielplan!M23),"",Spielplan!M23)</f>
        <v/>
      </c>
      <c r="E10" s="47" t="s">
        <v>24</v>
      </c>
      <c r="F10" s="48" t="str">
        <f>IF(ISBLANK(Spielplan!O23),"",Spielplan!O23)</f>
        <v/>
      </c>
      <c r="G10" s="46" t="str">
        <f>IF(ISBLANK(Tippspiel!M23),"",Tippspiel!M23)</f>
        <v/>
      </c>
      <c r="H10" s="47" t="s">
        <v>24</v>
      </c>
      <c r="I10" s="48" t="str">
        <f>IF(ISBLANK(Tippspiel!O23),"",Tippspiel!O23)</f>
        <v/>
      </c>
      <c r="J10" s="41" t="b">
        <f t="shared" si="0"/>
        <v>0</v>
      </c>
      <c r="K10" s="47">
        <f t="shared" si="1"/>
        <v>0</v>
      </c>
      <c r="L10" s="47">
        <f t="shared" si="2"/>
        <v>0</v>
      </c>
      <c r="M10" s="60">
        <f t="shared" si="3"/>
        <v>0</v>
      </c>
    </row>
    <row r="11" spans="1:17" x14ac:dyDescent="0.25">
      <c r="A11" s="40"/>
      <c r="B11" s="46" t="s">
        <v>61</v>
      </c>
      <c r="C11" s="41" t="s">
        <v>66</v>
      </c>
      <c r="D11" s="46" t="str">
        <f>IF(ISBLANK(Spielplan!M24),"",Spielplan!M24)</f>
        <v/>
      </c>
      <c r="E11" s="47" t="s">
        <v>24</v>
      </c>
      <c r="F11" s="48" t="str">
        <f>IF(ISBLANK(Spielplan!O24),"",Spielplan!O24)</f>
        <v/>
      </c>
      <c r="G11" s="46" t="str">
        <f>IF(ISBLANK(Tippspiel!M24),"",Tippspiel!M24)</f>
        <v/>
      </c>
      <c r="H11" s="47" t="s">
        <v>24</v>
      </c>
      <c r="I11" s="48" t="str">
        <f>IF(ISBLANK(Tippspiel!O24),"",Tippspiel!O24)</f>
        <v/>
      </c>
      <c r="J11" s="41" t="b">
        <f t="shared" si="0"/>
        <v>0</v>
      </c>
      <c r="K11" s="47">
        <f t="shared" si="1"/>
        <v>0</v>
      </c>
      <c r="L11" s="47">
        <f t="shared" si="2"/>
        <v>0</v>
      </c>
      <c r="M11" s="60">
        <f t="shared" si="3"/>
        <v>0</v>
      </c>
    </row>
    <row r="12" spans="1:17" x14ac:dyDescent="0.25">
      <c r="A12" s="40"/>
      <c r="B12" s="46" t="s">
        <v>64</v>
      </c>
      <c r="C12" s="41" t="s">
        <v>65</v>
      </c>
      <c r="D12" s="46" t="str">
        <f>IF(ISBLANK(Spielplan!M25),"",Spielplan!M25)</f>
        <v/>
      </c>
      <c r="E12" s="47" t="s">
        <v>24</v>
      </c>
      <c r="F12" s="48" t="str">
        <f>IF(ISBLANK(Spielplan!O25),"",Spielplan!O25)</f>
        <v/>
      </c>
      <c r="G12" s="46" t="str">
        <f>IF(ISBLANK(Tippspiel!M25),"",Tippspiel!M25)</f>
        <v/>
      </c>
      <c r="H12" s="47" t="s">
        <v>24</v>
      </c>
      <c r="I12" s="48" t="str">
        <f>IF(ISBLANK(Tippspiel!O25),"",Tippspiel!O25)</f>
        <v/>
      </c>
      <c r="J12" s="41" t="b">
        <f t="shared" si="0"/>
        <v>0</v>
      </c>
      <c r="K12" s="47">
        <f t="shared" si="1"/>
        <v>0</v>
      </c>
      <c r="L12" s="47">
        <f t="shared" si="2"/>
        <v>0</v>
      </c>
      <c r="M12" s="60">
        <f t="shared" si="3"/>
        <v>0</v>
      </c>
    </row>
    <row r="13" spans="1:17" x14ac:dyDescent="0.25">
      <c r="A13" s="40"/>
      <c r="B13" s="46" t="s">
        <v>62</v>
      </c>
      <c r="C13" s="41" t="s">
        <v>66</v>
      </c>
      <c r="D13" s="46" t="str">
        <f>IF(ISBLANK(Spielplan!M26),"",Spielplan!M26)</f>
        <v/>
      </c>
      <c r="E13" s="47" t="s">
        <v>24</v>
      </c>
      <c r="F13" s="48" t="str">
        <f>IF(ISBLANK(Spielplan!O26),"",Spielplan!O26)</f>
        <v/>
      </c>
      <c r="G13" s="46" t="str">
        <f>IF(ISBLANK(Tippspiel!M26),"",Tippspiel!M26)</f>
        <v/>
      </c>
      <c r="H13" s="47" t="s">
        <v>24</v>
      </c>
      <c r="I13" s="48" t="str">
        <f>IF(ISBLANK(Tippspiel!O26),"",Tippspiel!O26)</f>
        <v/>
      </c>
      <c r="J13" s="41" t="b">
        <f t="shared" si="0"/>
        <v>0</v>
      </c>
      <c r="K13" s="47">
        <f t="shared" si="1"/>
        <v>0</v>
      </c>
      <c r="L13" s="47">
        <f t="shared" si="2"/>
        <v>0</v>
      </c>
      <c r="M13" s="60">
        <f t="shared" si="3"/>
        <v>0</v>
      </c>
    </row>
    <row r="14" spans="1:17" x14ac:dyDescent="0.25">
      <c r="A14" s="40"/>
      <c r="B14" s="46" t="s">
        <v>61</v>
      </c>
      <c r="C14" s="41" t="s">
        <v>63</v>
      </c>
      <c r="D14" s="46" t="str">
        <f>IF(ISBLANK(Spielplan!M27),"",Spielplan!M27)</f>
        <v/>
      </c>
      <c r="E14" s="47" t="s">
        <v>24</v>
      </c>
      <c r="F14" s="48" t="str">
        <f>IF(ISBLANK(Spielplan!O27),"",Spielplan!O27)</f>
        <v/>
      </c>
      <c r="G14" s="46" t="str">
        <f>IF(ISBLANK(Tippspiel!M27),"",Tippspiel!M27)</f>
        <v/>
      </c>
      <c r="H14" s="47" t="s">
        <v>24</v>
      </c>
      <c r="I14" s="48" t="str">
        <f>IF(ISBLANK(Tippspiel!O27),"",Tippspiel!O27)</f>
        <v/>
      </c>
      <c r="J14" s="41" t="b">
        <f t="shared" si="0"/>
        <v>0</v>
      </c>
      <c r="K14" s="47">
        <f t="shared" si="1"/>
        <v>0</v>
      </c>
      <c r="L14" s="47">
        <f t="shared" si="2"/>
        <v>0</v>
      </c>
      <c r="M14" s="60">
        <f t="shared" si="3"/>
        <v>0</v>
      </c>
    </row>
    <row r="15" spans="1:17" x14ac:dyDescent="0.25">
      <c r="A15" s="40"/>
      <c r="B15" s="46" t="s">
        <v>65</v>
      </c>
      <c r="C15" s="41" t="s">
        <v>66</v>
      </c>
      <c r="D15" s="46" t="str">
        <f>IF(ISBLANK(Spielplan!M28),"",Spielplan!M28)</f>
        <v/>
      </c>
      <c r="E15" s="47" t="s">
        <v>24</v>
      </c>
      <c r="F15" s="48" t="str">
        <f>IF(ISBLANK(Spielplan!O28),"",Spielplan!O28)</f>
        <v/>
      </c>
      <c r="G15" s="46" t="str">
        <f>IF(ISBLANK(Tippspiel!M28),"",Tippspiel!M28)</f>
        <v/>
      </c>
      <c r="H15" s="47" t="s">
        <v>24</v>
      </c>
      <c r="I15" s="48" t="str">
        <f>IF(ISBLANK(Tippspiel!O28),"",Tippspiel!O28)</f>
        <v/>
      </c>
      <c r="J15" s="41" t="b">
        <f t="shared" si="0"/>
        <v>0</v>
      </c>
      <c r="K15" s="47">
        <f t="shared" si="1"/>
        <v>0</v>
      </c>
      <c r="L15" s="47">
        <f t="shared" si="2"/>
        <v>0</v>
      </c>
      <c r="M15" s="60">
        <f t="shared" si="3"/>
        <v>0</v>
      </c>
    </row>
    <row r="16" spans="1:17" x14ac:dyDescent="0.25">
      <c r="A16" s="40"/>
      <c r="B16" s="46" t="s">
        <v>63</v>
      </c>
      <c r="C16" s="41" t="s">
        <v>64</v>
      </c>
      <c r="D16" s="46" t="str">
        <f>IF(ISBLANK(Spielplan!M29),"",Spielplan!M29)</f>
        <v/>
      </c>
      <c r="E16" s="47" t="s">
        <v>24</v>
      </c>
      <c r="F16" s="48" t="str">
        <f>IF(ISBLANK(Spielplan!O29),"",Spielplan!O29)</f>
        <v/>
      </c>
      <c r="G16" s="46" t="str">
        <f>IF(ISBLANK(Tippspiel!M29),"",Tippspiel!M29)</f>
        <v/>
      </c>
      <c r="H16" s="47" t="s">
        <v>24</v>
      </c>
      <c r="I16" s="48" t="str">
        <f>IF(ISBLANK(Tippspiel!O29),"",Tippspiel!O29)</f>
        <v/>
      </c>
      <c r="J16" s="41" t="b">
        <f t="shared" si="0"/>
        <v>0</v>
      </c>
      <c r="K16" s="47">
        <f t="shared" si="1"/>
        <v>0</v>
      </c>
      <c r="L16" s="47">
        <f t="shared" si="2"/>
        <v>0</v>
      </c>
      <c r="M16" s="60">
        <f t="shared" si="3"/>
        <v>0</v>
      </c>
    </row>
    <row r="17" spans="1:13" x14ac:dyDescent="0.25">
      <c r="A17" s="40"/>
      <c r="B17" s="46" t="s">
        <v>61</v>
      </c>
      <c r="C17" s="41" t="s">
        <v>62</v>
      </c>
      <c r="D17" s="46" t="str">
        <f>IF(ISBLANK(Spielplan!M30),"",Spielplan!M30)</f>
        <v/>
      </c>
      <c r="E17" s="47" t="s">
        <v>24</v>
      </c>
      <c r="F17" s="48" t="str">
        <f>IF(ISBLANK(Spielplan!O30),"",Spielplan!O30)</f>
        <v/>
      </c>
      <c r="G17" s="46" t="str">
        <f>IF(ISBLANK(Tippspiel!M30),"",Tippspiel!M30)</f>
        <v/>
      </c>
      <c r="H17" s="47" t="s">
        <v>24</v>
      </c>
      <c r="I17" s="48" t="str">
        <f>IF(ISBLANK(Tippspiel!O30),"",Tippspiel!O30)</f>
        <v/>
      </c>
      <c r="J17" s="41" t="b">
        <f t="shared" si="0"/>
        <v>0</v>
      </c>
      <c r="K17" s="47">
        <f t="shared" si="1"/>
        <v>0</v>
      </c>
      <c r="L17" s="47">
        <f t="shared" si="2"/>
        <v>0</v>
      </c>
      <c r="M17" s="60">
        <f t="shared" si="3"/>
        <v>0</v>
      </c>
    </row>
    <row r="18" spans="1:13" x14ac:dyDescent="0.25">
      <c r="A18" s="39"/>
      <c r="E18" s="38"/>
      <c r="H18" s="38"/>
    </row>
    <row r="19" spans="1:13" x14ac:dyDescent="0.25">
      <c r="A19" s="39"/>
      <c r="E19" s="38"/>
      <c r="H19" s="38"/>
    </row>
    <row r="20" spans="1:13" x14ac:dyDescent="0.25">
      <c r="A20" s="39"/>
      <c r="B20" s="129" t="s">
        <v>136</v>
      </c>
      <c r="C20" s="130"/>
      <c r="D20" s="131" t="s">
        <v>117</v>
      </c>
      <c r="E20" s="132"/>
      <c r="F20" s="133"/>
      <c r="G20" s="131" t="s">
        <v>118</v>
      </c>
      <c r="H20" s="132"/>
      <c r="I20" s="133"/>
      <c r="J20" s="41" t="s">
        <v>115</v>
      </c>
      <c r="K20" s="43" t="s">
        <v>119</v>
      </c>
      <c r="L20" s="43" t="s">
        <v>116</v>
      </c>
      <c r="M20" s="62" t="s">
        <v>26</v>
      </c>
    </row>
    <row r="21" spans="1:13" ht="15" customHeight="1" x14ac:dyDescent="0.25">
      <c r="A21" s="40"/>
      <c r="B21" s="46" t="s">
        <v>78</v>
      </c>
      <c r="C21" s="41" t="s">
        <v>81</v>
      </c>
      <c r="D21" s="46" t="str">
        <f>IF(ISBLANK(Spielplan!M54),"",Spielplan!M54)</f>
        <v/>
      </c>
      <c r="E21" s="47" t="s">
        <v>24</v>
      </c>
      <c r="F21" s="48" t="str">
        <f>IF(ISBLANK(Spielplan!O54),"",Spielplan!O54)</f>
        <v/>
      </c>
      <c r="G21" s="46" t="str">
        <f>IF(ISBLANK(Tippspiel!M54),"",Tippspiel!M54)</f>
        <v/>
      </c>
      <c r="H21" s="47" t="s">
        <v>24</v>
      </c>
      <c r="I21" s="48" t="str">
        <f>IF(ISBLANK(Tippspiel!O54),"",Tippspiel!O54)</f>
        <v/>
      </c>
      <c r="J21" s="41" t="b">
        <f t="shared" ref="J21:J35" si="4">NOT(OR(D21="",F21="",G21="",I21=""))</f>
        <v>0</v>
      </c>
      <c r="K21" s="47">
        <f>IF(AND(J21,D21=G21,F21=I21),5,0)</f>
        <v>0</v>
      </c>
      <c r="L21" s="47">
        <f t="shared" ref="L21:L35" si="5">IF(AND(J21,K21=0,OR(AND(D21&gt;F21,G21&gt;I21),AND(D21&lt;F21,G21&lt;I21),AND(D21=F21,G21=I21))),1,0)</f>
        <v>0</v>
      </c>
      <c r="M21" s="60">
        <f>SUM(K21:L21)</f>
        <v>0</v>
      </c>
    </row>
    <row r="22" spans="1:13" x14ac:dyDescent="0.25">
      <c r="A22" s="40"/>
      <c r="B22" s="46" t="s">
        <v>77</v>
      </c>
      <c r="C22" s="41" t="s">
        <v>80</v>
      </c>
      <c r="D22" s="46" t="str">
        <f>IF(ISBLANK(Spielplan!M55),"",Spielplan!M55)</f>
        <v/>
      </c>
      <c r="E22" s="47" t="s">
        <v>24</v>
      </c>
      <c r="F22" s="48" t="str">
        <f>IF(ISBLANK(Spielplan!O55),"",Spielplan!O55)</f>
        <v/>
      </c>
      <c r="G22" s="46" t="str">
        <f>IF(ISBLANK(Tippspiel!M55),"",Tippspiel!M55)</f>
        <v/>
      </c>
      <c r="H22" s="47" t="s">
        <v>24</v>
      </c>
      <c r="I22" s="48" t="str">
        <f>IF(ISBLANK(Tippspiel!O55),"",Tippspiel!O55)</f>
        <v/>
      </c>
      <c r="J22" s="41" t="b">
        <f t="shared" si="4"/>
        <v>0</v>
      </c>
      <c r="K22" s="47">
        <f t="shared" ref="K22:K35" si="6">IF(AND(J22,D22=G22,F22=I22),5,0)</f>
        <v>0</v>
      </c>
      <c r="L22" s="47">
        <f t="shared" si="5"/>
        <v>0</v>
      </c>
      <c r="M22" s="60">
        <f t="shared" si="3"/>
        <v>0</v>
      </c>
    </row>
    <row r="23" spans="1:13" x14ac:dyDescent="0.25">
      <c r="A23" s="40"/>
      <c r="B23" s="46" t="s">
        <v>76</v>
      </c>
      <c r="C23" s="41" t="s">
        <v>79</v>
      </c>
      <c r="D23" s="46" t="str">
        <f>IF(ISBLANK(Spielplan!M56),"",Spielplan!M56)</f>
        <v/>
      </c>
      <c r="E23" s="47" t="s">
        <v>24</v>
      </c>
      <c r="F23" s="48" t="str">
        <f>IF(ISBLANK(Spielplan!O56),"",Spielplan!O56)</f>
        <v/>
      </c>
      <c r="G23" s="46" t="str">
        <f>IF(ISBLANK(Tippspiel!M56),"",Tippspiel!M56)</f>
        <v/>
      </c>
      <c r="H23" s="47" t="s">
        <v>24</v>
      </c>
      <c r="I23" s="48" t="str">
        <f>IF(ISBLANK(Tippspiel!O56),"",Tippspiel!O56)</f>
        <v/>
      </c>
      <c r="J23" s="41" t="b">
        <f t="shared" si="4"/>
        <v>0</v>
      </c>
      <c r="K23" s="47">
        <f t="shared" si="6"/>
        <v>0</v>
      </c>
      <c r="L23" s="47">
        <f t="shared" si="5"/>
        <v>0</v>
      </c>
      <c r="M23" s="60">
        <f t="shared" si="3"/>
        <v>0</v>
      </c>
    </row>
    <row r="24" spans="1:13" x14ac:dyDescent="0.25">
      <c r="A24" s="40"/>
      <c r="B24" s="46" t="s">
        <v>77</v>
      </c>
      <c r="C24" s="41" t="s">
        <v>78</v>
      </c>
      <c r="D24" s="46" t="str">
        <f>IF(ISBLANK(Spielplan!M57),"",Spielplan!M57)</f>
        <v/>
      </c>
      <c r="E24" s="47" t="s">
        <v>24</v>
      </c>
      <c r="F24" s="48" t="str">
        <f>IF(ISBLANK(Spielplan!O57),"",Spielplan!O57)</f>
        <v/>
      </c>
      <c r="G24" s="46" t="str">
        <f>IF(ISBLANK(Tippspiel!M57),"",Tippspiel!M57)</f>
        <v/>
      </c>
      <c r="H24" s="47" t="s">
        <v>24</v>
      </c>
      <c r="I24" s="48" t="str">
        <f>IF(ISBLANK(Tippspiel!O57),"",Tippspiel!O57)</f>
        <v/>
      </c>
      <c r="J24" s="41" t="b">
        <f t="shared" si="4"/>
        <v>0</v>
      </c>
      <c r="K24" s="47">
        <f t="shared" si="6"/>
        <v>0</v>
      </c>
      <c r="L24" s="47">
        <f t="shared" si="5"/>
        <v>0</v>
      </c>
      <c r="M24" s="60">
        <f t="shared" si="3"/>
        <v>0</v>
      </c>
    </row>
    <row r="25" spans="1:13" x14ac:dyDescent="0.25">
      <c r="A25" s="40"/>
      <c r="B25" s="46" t="s">
        <v>79</v>
      </c>
      <c r="C25" s="41" t="s">
        <v>81</v>
      </c>
      <c r="D25" s="46" t="str">
        <f>IF(ISBLANK(Spielplan!M58),"",Spielplan!M58)</f>
        <v/>
      </c>
      <c r="E25" s="47" t="s">
        <v>24</v>
      </c>
      <c r="F25" s="48" t="str">
        <f>IF(ISBLANK(Spielplan!O58),"",Spielplan!O58)</f>
        <v/>
      </c>
      <c r="G25" s="46" t="str">
        <f>IF(ISBLANK(Tippspiel!M58),"",Tippspiel!M58)</f>
        <v/>
      </c>
      <c r="H25" s="47" t="s">
        <v>24</v>
      </c>
      <c r="I25" s="48" t="str">
        <f>IF(ISBLANK(Tippspiel!O58),"",Tippspiel!O58)</f>
        <v/>
      </c>
      <c r="J25" s="41" t="b">
        <f t="shared" si="4"/>
        <v>0</v>
      </c>
      <c r="K25" s="47">
        <f t="shared" si="6"/>
        <v>0</v>
      </c>
      <c r="L25" s="47">
        <f t="shared" si="5"/>
        <v>0</v>
      </c>
      <c r="M25" s="60">
        <f t="shared" si="3"/>
        <v>0</v>
      </c>
    </row>
    <row r="26" spans="1:13" x14ac:dyDescent="0.25">
      <c r="A26" s="40"/>
      <c r="B26" s="46" t="s">
        <v>76</v>
      </c>
      <c r="C26" s="41" t="s">
        <v>80</v>
      </c>
      <c r="D26" s="46" t="str">
        <f>IF(ISBLANK(Spielplan!M59),"",Spielplan!M59)</f>
        <v/>
      </c>
      <c r="E26" s="47" t="s">
        <v>24</v>
      </c>
      <c r="F26" s="48" t="str">
        <f>IF(ISBLANK(Spielplan!O59),"",Spielplan!O59)</f>
        <v/>
      </c>
      <c r="G26" s="46" t="str">
        <f>IF(ISBLANK(Tippspiel!M59),"",Tippspiel!M59)</f>
        <v/>
      </c>
      <c r="H26" s="47" t="s">
        <v>24</v>
      </c>
      <c r="I26" s="48" t="str">
        <f>IF(ISBLANK(Tippspiel!O59),"",Tippspiel!O59)</f>
        <v/>
      </c>
      <c r="J26" s="41" t="b">
        <f t="shared" si="4"/>
        <v>0</v>
      </c>
      <c r="K26" s="47">
        <f t="shared" si="6"/>
        <v>0</v>
      </c>
      <c r="L26" s="47">
        <f t="shared" si="5"/>
        <v>0</v>
      </c>
      <c r="M26" s="60">
        <f t="shared" si="3"/>
        <v>0</v>
      </c>
    </row>
    <row r="27" spans="1:13" x14ac:dyDescent="0.25">
      <c r="A27" s="40"/>
      <c r="B27" s="46" t="s">
        <v>77</v>
      </c>
      <c r="C27" s="41" t="s">
        <v>79</v>
      </c>
      <c r="D27" s="46" t="str">
        <f>IF(ISBLANK(Spielplan!M60),"",Spielplan!M60)</f>
        <v/>
      </c>
      <c r="E27" s="47" t="s">
        <v>24</v>
      </c>
      <c r="F27" s="48" t="str">
        <f>IF(ISBLANK(Spielplan!O60),"",Spielplan!O60)</f>
        <v/>
      </c>
      <c r="G27" s="46" t="str">
        <f>IF(ISBLANK(Tippspiel!M60),"",Tippspiel!M60)</f>
        <v/>
      </c>
      <c r="H27" s="47" t="s">
        <v>24</v>
      </c>
      <c r="I27" s="48" t="str">
        <f>IF(ISBLANK(Tippspiel!O60),"",Tippspiel!O60)</f>
        <v/>
      </c>
      <c r="J27" s="41" t="b">
        <f t="shared" si="4"/>
        <v>0</v>
      </c>
      <c r="K27" s="47">
        <f t="shared" si="6"/>
        <v>0</v>
      </c>
      <c r="L27" s="47">
        <f t="shared" si="5"/>
        <v>0</v>
      </c>
      <c r="M27" s="60">
        <f t="shared" si="3"/>
        <v>0</v>
      </c>
    </row>
    <row r="28" spans="1:13" x14ac:dyDescent="0.25">
      <c r="A28" s="40"/>
      <c r="B28" s="46" t="s">
        <v>78</v>
      </c>
      <c r="C28" s="41" t="s">
        <v>80</v>
      </c>
      <c r="D28" s="46" t="str">
        <f>IF(ISBLANK(Spielplan!M61),"",Spielplan!M61)</f>
        <v/>
      </c>
      <c r="E28" s="47" t="s">
        <v>24</v>
      </c>
      <c r="F28" s="48" t="str">
        <f>IF(ISBLANK(Spielplan!O61),"",Spielplan!O61)</f>
        <v/>
      </c>
      <c r="G28" s="46" t="str">
        <f>IF(ISBLANK(Tippspiel!M61),"",Tippspiel!M61)</f>
        <v/>
      </c>
      <c r="H28" s="47" t="s">
        <v>24</v>
      </c>
      <c r="I28" s="48" t="str">
        <f>IF(ISBLANK(Tippspiel!O61),"",Tippspiel!O61)</f>
        <v/>
      </c>
      <c r="J28" s="41" t="b">
        <f t="shared" si="4"/>
        <v>0</v>
      </c>
      <c r="K28" s="47">
        <f t="shared" si="6"/>
        <v>0</v>
      </c>
      <c r="L28" s="47">
        <f t="shared" si="5"/>
        <v>0</v>
      </c>
      <c r="M28" s="60">
        <f t="shared" si="3"/>
        <v>0</v>
      </c>
    </row>
    <row r="29" spans="1:13" x14ac:dyDescent="0.25">
      <c r="A29" s="40"/>
      <c r="B29" s="46" t="s">
        <v>76</v>
      </c>
      <c r="C29" s="41" t="s">
        <v>81</v>
      </c>
      <c r="D29" s="46" t="str">
        <f>IF(ISBLANK(Spielplan!M62),"",Spielplan!M62)</f>
        <v/>
      </c>
      <c r="E29" s="47" t="s">
        <v>24</v>
      </c>
      <c r="F29" s="48" t="str">
        <f>IF(ISBLANK(Spielplan!O62),"",Spielplan!O62)</f>
        <v/>
      </c>
      <c r="G29" s="46" t="str">
        <f>IF(ISBLANK(Tippspiel!M62),"",Tippspiel!M62)</f>
        <v/>
      </c>
      <c r="H29" s="47" t="s">
        <v>24</v>
      </c>
      <c r="I29" s="48" t="str">
        <f>IF(ISBLANK(Tippspiel!O62),"",Tippspiel!O62)</f>
        <v/>
      </c>
      <c r="J29" s="41" t="b">
        <f t="shared" si="4"/>
        <v>0</v>
      </c>
      <c r="K29" s="47">
        <f t="shared" si="6"/>
        <v>0</v>
      </c>
      <c r="L29" s="47">
        <f t="shared" si="5"/>
        <v>0</v>
      </c>
      <c r="M29" s="60">
        <f t="shared" si="3"/>
        <v>0</v>
      </c>
    </row>
    <row r="30" spans="1:13" x14ac:dyDescent="0.25">
      <c r="A30" s="40"/>
      <c r="B30" s="46" t="s">
        <v>79</v>
      </c>
      <c r="C30" s="41" t="s">
        <v>80</v>
      </c>
      <c r="D30" s="46" t="str">
        <f>IF(ISBLANK(Spielplan!M63),"",Spielplan!M63)</f>
        <v/>
      </c>
      <c r="E30" s="47" t="s">
        <v>24</v>
      </c>
      <c r="F30" s="48" t="str">
        <f>IF(ISBLANK(Spielplan!O63),"",Spielplan!O63)</f>
        <v/>
      </c>
      <c r="G30" s="46" t="str">
        <f>IF(ISBLANK(Tippspiel!M63),"",Tippspiel!M63)</f>
        <v/>
      </c>
      <c r="H30" s="47" t="s">
        <v>24</v>
      </c>
      <c r="I30" s="48" t="str">
        <f>IF(ISBLANK(Tippspiel!O63),"",Tippspiel!O63)</f>
        <v/>
      </c>
      <c r="J30" s="41" t="b">
        <f t="shared" si="4"/>
        <v>0</v>
      </c>
      <c r="K30" s="47">
        <f t="shared" si="6"/>
        <v>0</v>
      </c>
      <c r="L30" s="47">
        <f t="shared" si="5"/>
        <v>0</v>
      </c>
      <c r="M30" s="60">
        <f t="shared" si="3"/>
        <v>0</v>
      </c>
    </row>
    <row r="31" spans="1:13" x14ac:dyDescent="0.25">
      <c r="A31" s="40"/>
      <c r="B31" s="46" t="s">
        <v>77</v>
      </c>
      <c r="C31" s="41" t="s">
        <v>81</v>
      </c>
      <c r="D31" s="46" t="str">
        <f>IF(ISBLANK(Spielplan!M64),"",Spielplan!M64)</f>
        <v/>
      </c>
      <c r="E31" s="47" t="s">
        <v>24</v>
      </c>
      <c r="F31" s="48" t="str">
        <f>IF(ISBLANK(Spielplan!O64),"",Spielplan!O64)</f>
        <v/>
      </c>
      <c r="G31" s="46" t="str">
        <f>IF(ISBLANK(Tippspiel!M64),"",Tippspiel!M64)</f>
        <v/>
      </c>
      <c r="H31" s="47" t="s">
        <v>24</v>
      </c>
      <c r="I31" s="48" t="str">
        <f>IF(ISBLANK(Tippspiel!O64),"",Tippspiel!O64)</f>
        <v/>
      </c>
      <c r="J31" s="41" t="b">
        <f t="shared" si="4"/>
        <v>0</v>
      </c>
      <c r="K31" s="47">
        <f t="shared" si="6"/>
        <v>0</v>
      </c>
      <c r="L31" s="47">
        <f t="shared" si="5"/>
        <v>0</v>
      </c>
      <c r="M31" s="60">
        <f t="shared" si="3"/>
        <v>0</v>
      </c>
    </row>
    <row r="32" spans="1:13" x14ac:dyDescent="0.25">
      <c r="A32" s="40"/>
      <c r="B32" s="46" t="s">
        <v>76</v>
      </c>
      <c r="C32" s="41" t="s">
        <v>78</v>
      </c>
      <c r="D32" s="46" t="str">
        <f>IF(ISBLANK(Spielplan!M65),"",Spielplan!M65)</f>
        <v/>
      </c>
      <c r="E32" s="47" t="s">
        <v>24</v>
      </c>
      <c r="F32" s="48" t="str">
        <f>IF(ISBLANK(Spielplan!O65),"",Spielplan!O65)</f>
        <v/>
      </c>
      <c r="G32" s="46" t="str">
        <f>IF(ISBLANK(Tippspiel!M65),"",Tippspiel!M65)</f>
        <v/>
      </c>
      <c r="H32" s="47" t="s">
        <v>24</v>
      </c>
      <c r="I32" s="48" t="str">
        <f>IF(ISBLANK(Tippspiel!O65),"",Tippspiel!O65)</f>
        <v/>
      </c>
      <c r="J32" s="41" t="b">
        <f t="shared" si="4"/>
        <v>0</v>
      </c>
      <c r="K32" s="47">
        <f t="shared" si="6"/>
        <v>0</v>
      </c>
      <c r="L32" s="47">
        <f t="shared" si="5"/>
        <v>0</v>
      </c>
      <c r="M32" s="60">
        <f t="shared" si="3"/>
        <v>0</v>
      </c>
    </row>
    <row r="33" spans="1:13" x14ac:dyDescent="0.25">
      <c r="A33" s="40"/>
      <c r="B33" s="46" t="s">
        <v>80</v>
      </c>
      <c r="C33" s="41" t="s">
        <v>81</v>
      </c>
      <c r="D33" s="46" t="str">
        <f>IF(ISBLANK(Spielplan!M66),"",Spielplan!M66)</f>
        <v/>
      </c>
      <c r="E33" s="47" t="s">
        <v>24</v>
      </c>
      <c r="F33" s="48" t="str">
        <f>IF(ISBLANK(Spielplan!O66),"",Spielplan!O66)</f>
        <v/>
      </c>
      <c r="G33" s="46" t="str">
        <f>IF(ISBLANK(Tippspiel!M66),"",Tippspiel!M66)</f>
        <v/>
      </c>
      <c r="H33" s="47" t="s">
        <v>24</v>
      </c>
      <c r="I33" s="48" t="str">
        <f>IF(ISBLANK(Tippspiel!O66),"",Tippspiel!O66)</f>
        <v/>
      </c>
      <c r="J33" s="41" t="b">
        <f t="shared" si="4"/>
        <v>0</v>
      </c>
      <c r="K33" s="47">
        <f t="shared" si="6"/>
        <v>0</v>
      </c>
      <c r="L33" s="47">
        <f t="shared" si="5"/>
        <v>0</v>
      </c>
      <c r="M33" s="60">
        <f t="shared" si="3"/>
        <v>0</v>
      </c>
    </row>
    <row r="34" spans="1:13" x14ac:dyDescent="0.25">
      <c r="A34" s="40"/>
      <c r="B34" s="46" t="s">
        <v>78</v>
      </c>
      <c r="C34" s="41" t="s">
        <v>79</v>
      </c>
      <c r="D34" s="46" t="str">
        <f>IF(ISBLANK(Spielplan!M67),"",Spielplan!M67)</f>
        <v/>
      </c>
      <c r="E34" s="47" t="s">
        <v>24</v>
      </c>
      <c r="F34" s="48" t="str">
        <f>IF(ISBLANK(Spielplan!O67),"",Spielplan!O67)</f>
        <v/>
      </c>
      <c r="G34" s="46" t="str">
        <f>IF(ISBLANK(Tippspiel!M67),"",Tippspiel!M67)</f>
        <v/>
      </c>
      <c r="H34" s="47" t="s">
        <v>24</v>
      </c>
      <c r="I34" s="48" t="str">
        <f>IF(ISBLANK(Tippspiel!O67),"",Tippspiel!O67)</f>
        <v/>
      </c>
      <c r="J34" s="41" t="b">
        <f t="shared" si="4"/>
        <v>0</v>
      </c>
      <c r="K34" s="47">
        <f t="shared" si="6"/>
        <v>0</v>
      </c>
      <c r="L34" s="47">
        <f t="shared" si="5"/>
        <v>0</v>
      </c>
      <c r="M34" s="60">
        <f t="shared" si="3"/>
        <v>0</v>
      </c>
    </row>
    <row r="35" spans="1:13" x14ac:dyDescent="0.25">
      <c r="A35" s="40"/>
      <c r="B35" s="46" t="s">
        <v>76</v>
      </c>
      <c r="C35" s="41" t="s">
        <v>77</v>
      </c>
      <c r="D35" s="46" t="str">
        <f>IF(ISBLANK(Spielplan!M68),"",Spielplan!M68)</f>
        <v/>
      </c>
      <c r="E35" s="47" t="s">
        <v>24</v>
      </c>
      <c r="F35" s="48" t="str">
        <f>IF(ISBLANK(Spielplan!O68),"",Spielplan!O68)</f>
        <v/>
      </c>
      <c r="G35" s="46" t="str">
        <f>IF(ISBLANK(Tippspiel!M68),"",Tippspiel!M68)</f>
        <v/>
      </c>
      <c r="H35" s="47" t="s">
        <v>24</v>
      </c>
      <c r="I35" s="48" t="str">
        <f>IF(ISBLANK(Tippspiel!O68),"",Tippspiel!O68)</f>
        <v/>
      </c>
      <c r="J35" s="41" t="b">
        <f t="shared" si="4"/>
        <v>0</v>
      </c>
      <c r="K35" s="47">
        <f t="shared" si="6"/>
        <v>0</v>
      </c>
      <c r="L35" s="47">
        <f t="shared" si="5"/>
        <v>0</v>
      </c>
      <c r="M35" s="60">
        <f t="shared" si="3"/>
        <v>0</v>
      </c>
    </row>
    <row r="38" spans="1:13" x14ac:dyDescent="0.25">
      <c r="B38" s="129" t="s">
        <v>122</v>
      </c>
      <c r="C38" s="130"/>
      <c r="D38" s="130"/>
      <c r="E38" s="130"/>
      <c r="F38" s="130"/>
      <c r="G38" s="130"/>
      <c r="H38" s="130"/>
      <c r="I38" s="130"/>
      <c r="J38" s="130"/>
      <c r="K38" s="130"/>
      <c r="L38" s="130"/>
      <c r="M38" s="138"/>
    </row>
    <row r="39" spans="1:13" x14ac:dyDescent="0.25">
      <c r="B39" s="55" t="s">
        <v>117</v>
      </c>
      <c r="C39" s="43" t="s">
        <v>118</v>
      </c>
      <c r="D39" s="56"/>
      <c r="E39" s="56"/>
      <c r="F39" s="56"/>
      <c r="G39" s="56"/>
      <c r="H39" s="56"/>
      <c r="I39" s="56"/>
      <c r="J39" s="47" t="s">
        <v>115</v>
      </c>
      <c r="K39" s="43" t="s">
        <v>119</v>
      </c>
      <c r="L39" s="43" t="s">
        <v>133</v>
      </c>
      <c r="M39" s="44" t="s">
        <v>26</v>
      </c>
    </row>
    <row r="40" spans="1:13" x14ac:dyDescent="0.25">
      <c r="B40" s="46" t="str">
        <f>Spielplan!F88</f>
        <v>Gruppe B Platz 5</v>
      </c>
      <c r="C40" s="48" t="str">
        <f>Tippspiel!F88</f>
        <v>Gruppe B Platz 5</v>
      </c>
      <c r="I40" s="54"/>
      <c r="J40" s="134" t="b">
        <f>AND(NOT(LEFT(B40,6)="Gruppe"),NOT(LEFT(B41,6)="Gruppe"))</f>
        <v>0</v>
      </c>
      <c r="K40" s="59">
        <f>IF(AND(J40,B40=C40),1,0)</f>
        <v>0</v>
      </c>
      <c r="L40" s="137">
        <f>IF(AND(J40,B40=C40,B41=C41),1,0)</f>
        <v>0</v>
      </c>
      <c r="M40" s="137">
        <f>SUM(J40:L41)</f>
        <v>0</v>
      </c>
    </row>
    <row r="41" spans="1:13" x14ac:dyDescent="0.25">
      <c r="B41" s="46" t="str">
        <f>Spielplan!K88</f>
        <v>Gruppe A Platz 6</v>
      </c>
      <c r="C41" s="48" t="str">
        <f>Tippspiel!K88</f>
        <v>Gruppe A Platz 6</v>
      </c>
      <c r="D41" s="52"/>
      <c r="E41" s="52"/>
      <c r="F41" s="52"/>
      <c r="G41" s="52"/>
      <c r="H41" s="52"/>
      <c r="I41" s="53"/>
      <c r="J41" s="134"/>
      <c r="K41" s="60">
        <f>IF(AND(J40,B41=C41),1,0)</f>
        <v>0</v>
      </c>
      <c r="L41" s="140"/>
      <c r="M41" s="140"/>
    </row>
    <row r="43" spans="1:13" x14ac:dyDescent="0.25">
      <c r="B43" s="127" t="s">
        <v>121</v>
      </c>
      <c r="C43" s="128"/>
      <c r="D43" s="128"/>
      <c r="E43" s="128"/>
      <c r="F43" s="128"/>
      <c r="G43" s="128"/>
      <c r="H43" s="128"/>
      <c r="I43" s="128"/>
      <c r="J43" s="128"/>
      <c r="K43" s="128"/>
      <c r="L43" s="128"/>
      <c r="M43" s="139"/>
    </row>
    <row r="44" spans="1:13" x14ac:dyDescent="0.25">
      <c r="B44" s="55" t="s">
        <v>117</v>
      </c>
      <c r="C44" s="43" t="s">
        <v>118</v>
      </c>
      <c r="D44" s="56"/>
      <c r="E44" s="56"/>
      <c r="F44" s="56"/>
      <c r="G44" s="56"/>
      <c r="H44" s="56"/>
      <c r="I44" s="56"/>
      <c r="J44" s="47" t="s">
        <v>115</v>
      </c>
      <c r="K44" s="43" t="s">
        <v>119</v>
      </c>
      <c r="L44" s="43" t="s">
        <v>133</v>
      </c>
      <c r="M44" s="44" t="s">
        <v>26</v>
      </c>
    </row>
    <row r="45" spans="1:13" x14ac:dyDescent="0.25">
      <c r="B45" s="46" t="str">
        <f>Spielplan!F87</f>
        <v>Gruppe A Platz 5</v>
      </c>
      <c r="C45" s="48" t="str">
        <f>Tippspiel!F87</f>
        <v>Gruppe A Platz 5</v>
      </c>
      <c r="D45" s="49"/>
      <c r="E45" s="42"/>
      <c r="F45" s="42"/>
      <c r="G45" s="42"/>
      <c r="H45" s="42"/>
      <c r="I45" s="50"/>
      <c r="J45" s="134" t="b">
        <f>AND(NOT(LEFT(B45,6)="Gruppe"),NOT(LEFT(B46,6)="Gruppe"))</f>
        <v>0</v>
      </c>
      <c r="K45" s="60">
        <f>IF(AND(J45,B45=C45),1,0)</f>
        <v>0</v>
      </c>
      <c r="L45" s="135">
        <f>IF(AND(J45,B45=C45,B46=C46),1,0)</f>
        <v>0</v>
      </c>
      <c r="M45" s="135">
        <f>SUM(J45:L46)</f>
        <v>0</v>
      </c>
    </row>
    <row r="46" spans="1:13" x14ac:dyDescent="0.25">
      <c r="B46" s="46" t="str">
        <f>Spielplan!K87</f>
        <v>Gruppe B Platz 6</v>
      </c>
      <c r="C46" s="48" t="str">
        <f>Tippspiel!K87</f>
        <v>Gruppe B Platz 6</v>
      </c>
      <c r="D46" s="51"/>
      <c r="E46" s="52"/>
      <c r="F46" s="52"/>
      <c r="G46" s="52"/>
      <c r="H46" s="52"/>
      <c r="I46" s="53"/>
      <c r="J46" s="134"/>
      <c r="K46" s="60">
        <f>IF(AND(J45,B46=C46),1,0)</f>
        <v>0</v>
      </c>
      <c r="L46" s="137"/>
      <c r="M46" s="137"/>
    </row>
    <row r="48" spans="1:13" x14ac:dyDescent="0.25">
      <c r="B48" s="129" t="s">
        <v>123</v>
      </c>
      <c r="C48" s="130"/>
      <c r="D48" s="130"/>
      <c r="E48" s="130"/>
      <c r="F48" s="130"/>
      <c r="G48" s="130"/>
      <c r="H48" s="130"/>
      <c r="I48" s="130"/>
      <c r="J48" s="130"/>
      <c r="K48" s="130"/>
      <c r="L48" s="130"/>
      <c r="M48" s="138"/>
    </row>
    <row r="49" spans="2:13" x14ac:dyDescent="0.25">
      <c r="B49" s="55" t="s">
        <v>117</v>
      </c>
      <c r="C49" s="43" t="s">
        <v>118</v>
      </c>
      <c r="D49" s="56"/>
      <c r="E49" s="56"/>
      <c r="F49" s="56"/>
      <c r="G49" s="56"/>
      <c r="H49" s="56"/>
      <c r="I49" s="56"/>
      <c r="J49" s="47" t="s">
        <v>115</v>
      </c>
      <c r="K49" s="43" t="s">
        <v>119</v>
      </c>
      <c r="L49" s="43" t="s">
        <v>133</v>
      </c>
      <c r="M49" s="44" t="s">
        <v>26</v>
      </c>
    </row>
    <row r="50" spans="2:13" x14ac:dyDescent="0.25">
      <c r="B50" s="46" t="str">
        <f>Spielplan!F90</f>
        <v>Gruppe B Platz 3</v>
      </c>
      <c r="C50" s="48" t="str">
        <f>Tippspiel!F90</f>
        <v>Gruppe B Platz 3</v>
      </c>
      <c r="D50" s="49"/>
      <c r="E50" s="42"/>
      <c r="F50" s="42"/>
      <c r="G50" s="42"/>
      <c r="H50" s="42"/>
      <c r="I50" s="50"/>
      <c r="J50" s="134" t="b">
        <f>AND(NOT(LEFT(B50,6)="Gruppe"),NOT(LEFT(B51,6)="Gruppe"))</f>
        <v>0</v>
      </c>
      <c r="K50" s="60">
        <f>IF(AND(J50,B50=C50),1,0)</f>
        <v>0</v>
      </c>
      <c r="L50" s="135">
        <f>IF(AND(J50,B50=C50,B51=C51),1,0)</f>
        <v>0</v>
      </c>
      <c r="M50" s="135">
        <f>SUM(J50:L51)</f>
        <v>0</v>
      </c>
    </row>
    <row r="51" spans="2:13" x14ac:dyDescent="0.25">
      <c r="B51" s="46" t="str">
        <f>Spielplan!K90</f>
        <v>Gruppe A Platz 4</v>
      </c>
      <c r="C51" s="48" t="str">
        <f>Tippspiel!K90</f>
        <v>Gruppe A Platz 4</v>
      </c>
      <c r="D51" s="51"/>
      <c r="E51" s="52"/>
      <c r="F51" s="52"/>
      <c r="G51" s="52"/>
      <c r="H51" s="52"/>
      <c r="I51" s="53"/>
      <c r="J51" s="134"/>
      <c r="K51" s="60">
        <f>IF(AND(J50,B51=C51),1,0)</f>
        <v>0</v>
      </c>
      <c r="L51" s="137"/>
      <c r="M51" s="137"/>
    </row>
    <row r="53" spans="2:13" x14ac:dyDescent="0.25">
      <c r="B53" s="129" t="s">
        <v>124</v>
      </c>
      <c r="C53" s="130"/>
      <c r="D53" s="130"/>
      <c r="E53" s="130"/>
      <c r="F53" s="130"/>
      <c r="G53" s="130"/>
      <c r="H53" s="130"/>
      <c r="I53" s="130"/>
      <c r="J53" s="130"/>
      <c r="K53" s="130"/>
      <c r="L53" s="130"/>
      <c r="M53" s="138"/>
    </row>
    <row r="54" spans="2:13" x14ac:dyDescent="0.25">
      <c r="B54" s="55" t="s">
        <v>117</v>
      </c>
      <c r="C54" s="43" t="s">
        <v>118</v>
      </c>
      <c r="D54" s="56"/>
      <c r="E54" s="56"/>
      <c r="F54" s="56"/>
      <c r="G54" s="56"/>
      <c r="H54" s="56"/>
      <c r="I54" s="56"/>
      <c r="J54" s="47" t="s">
        <v>115</v>
      </c>
      <c r="K54" s="43" t="s">
        <v>119</v>
      </c>
      <c r="L54" s="43" t="s">
        <v>133</v>
      </c>
      <c r="M54" s="44" t="s">
        <v>26</v>
      </c>
    </row>
    <row r="55" spans="2:13" x14ac:dyDescent="0.25">
      <c r="B55" s="46" t="str">
        <f>Spielplan!F89</f>
        <v>Gruppe A Platz 3</v>
      </c>
      <c r="C55" s="48" t="str">
        <f>Tippspiel!F89</f>
        <v>Gruppe A Platz 3</v>
      </c>
      <c r="D55" s="49"/>
      <c r="E55" s="42"/>
      <c r="F55" s="42"/>
      <c r="G55" s="42"/>
      <c r="H55" s="42"/>
      <c r="I55" s="50"/>
      <c r="J55" s="134" t="b">
        <f>AND(NOT(LEFT(B55,6)="Gruppe"),NOT(LEFT(B56,6)="Gruppe"))</f>
        <v>0</v>
      </c>
      <c r="K55" s="60">
        <f>IF(AND(J55,B55=C55),1,0)</f>
        <v>0</v>
      </c>
      <c r="L55" s="135">
        <f>IF(AND(J55,B55=C55,B56=C56),1,0)</f>
        <v>0</v>
      </c>
      <c r="M55" s="135">
        <f>SUM(J55:L56)</f>
        <v>0</v>
      </c>
    </row>
    <row r="56" spans="2:13" x14ac:dyDescent="0.25">
      <c r="B56" s="46" t="str">
        <f>Spielplan!K89</f>
        <v>Gruppe B Platz 4</v>
      </c>
      <c r="C56" s="48" t="str">
        <f>Tippspiel!K89</f>
        <v>Gruppe B Platz 4</v>
      </c>
      <c r="D56" s="51"/>
      <c r="E56" s="52"/>
      <c r="F56" s="52"/>
      <c r="G56" s="52"/>
      <c r="H56" s="52"/>
      <c r="I56" s="53"/>
      <c r="J56" s="134"/>
      <c r="K56" s="60">
        <f>IF(AND(J55,B56=C56),1,0)</f>
        <v>0</v>
      </c>
      <c r="L56" s="137"/>
      <c r="M56" s="137"/>
    </row>
    <row r="58" spans="2:13" x14ac:dyDescent="0.25">
      <c r="B58" s="129" t="s">
        <v>125</v>
      </c>
      <c r="C58" s="130"/>
      <c r="D58" s="130"/>
      <c r="E58" s="130"/>
      <c r="F58" s="130"/>
      <c r="G58" s="130"/>
      <c r="H58" s="130"/>
      <c r="I58" s="130"/>
      <c r="J58" s="130"/>
      <c r="K58" s="130"/>
      <c r="L58" s="130"/>
      <c r="M58" s="138"/>
    </row>
    <row r="59" spans="2:13" x14ac:dyDescent="0.25">
      <c r="B59" s="55" t="s">
        <v>117</v>
      </c>
      <c r="C59" s="43" t="s">
        <v>118</v>
      </c>
      <c r="D59" s="56"/>
      <c r="E59" s="56"/>
      <c r="F59" s="56"/>
      <c r="G59" s="56"/>
      <c r="H59" s="56"/>
      <c r="I59" s="56"/>
      <c r="J59" s="47" t="s">
        <v>115</v>
      </c>
      <c r="K59" s="43" t="s">
        <v>119</v>
      </c>
      <c r="L59" s="43" t="s">
        <v>133</v>
      </c>
      <c r="M59" s="44" t="s">
        <v>26</v>
      </c>
    </row>
    <row r="60" spans="2:13" x14ac:dyDescent="0.25">
      <c r="B60" s="46" t="str">
        <f>Spielplan!F92</f>
        <v>Gruppe B Platz 1</v>
      </c>
      <c r="C60" s="48" t="str">
        <f>Tippspiel!F92</f>
        <v>Gruppe B Platz 1</v>
      </c>
      <c r="D60" s="49"/>
      <c r="E60" s="42"/>
      <c r="F60" s="42"/>
      <c r="G60" s="42"/>
      <c r="H60" s="42"/>
      <c r="I60" s="50"/>
      <c r="J60" s="134" t="b">
        <f>AND(NOT(LEFT(B60,6)="Gruppe"),NOT(LEFT(B61,6)="Gruppe"))</f>
        <v>0</v>
      </c>
      <c r="K60" s="60">
        <f>IF(AND(J60,B60=C60),1,0)</f>
        <v>0</v>
      </c>
      <c r="L60" s="135">
        <f>IF(AND(J60,B60=C60,B61=C61),1,0)</f>
        <v>0</v>
      </c>
      <c r="M60" s="135">
        <f>SUM(J60:L61)</f>
        <v>0</v>
      </c>
    </row>
    <row r="61" spans="2:13" x14ac:dyDescent="0.25">
      <c r="B61" s="46" t="str">
        <f>Spielplan!K92</f>
        <v>Gruppe A Platz 2</v>
      </c>
      <c r="C61" s="48" t="str">
        <f>Tippspiel!K92</f>
        <v>Gruppe A Platz 2</v>
      </c>
      <c r="D61" s="51"/>
      <c r="E61" s="52"/>
      <c r="F61" s="52"/>
      <c r="G61" s="52"/>
      <c r="H61" s="52"/>
      <c r="I61" s="53"/>
      <c r="J61" s="134"/>
      <c r="K61" s="60">
        <f>IF(AND(J60,B61=C61),1,0)</f>
        <v>0</v>
      </c>
      <c r="L61" s="137"/>
      <c r="M61" s="137"/>
    </row>
    <row r="63" spans="2:13" x14ac:dyDescent="0.25">
      <c r="B63" s="129" t="s">
        <v>126</v>
      </c>
      <c r="C63" s="130"/>
      <c r="D63" s="130"/>
      <c r="E63" s="130"/>
      <c r="F63" s="130"/>
      <c r="G63" s="130"/>
      <c r="H63" s="130"/>
      <c r="I63" s="130"/>
      <c r="J63" s="130"/>
      <c r="K63" s="130"/>
      <c r="L63" s="130"/>
      <c r="M63" s="138"/>
    </row>
    <row r="64" spans="2:13" x14ac:dyDescent="0.25">
      <c r="B64" s="55" t="s">
        <v>117</v>
      </c>
      <c r="C64" s="43" t="s">
        <v>118</v>
      </c>
      <c r="D64" s="56"/>
      <c r="E64" s="56"/>
      <c r="F64" s="56"/>
      <c r="G64" s="56"/>
      <c r="H64" s="56"/>
      <c r="I64" s="56"/>
      <c r="J64" s="47" t="s">
        <v>115</v>
      </c>
      <c r="K64" s="43" t="s">
        <v>119</v>
      </c>
      <c r="L64" s="43" t="s">
        <v>133</v>
      </c>
      <c r="M64" s="44" t="s">
        <v>26</v>
      </c>
    </row>
    <row r="65" spans="2:13" x14ac:dyDescent="0.25">
      <c r="B65" s="46" t="str">
        <f>Spielplan!F91</f>
        <v>Gruppe A Platz 1</v>
      </c>
      <c r="C65" s="48" t="str">
        <f>Tippspiel!F91</f>
        <v>Gruppe A Platz 1</v>
      </c>
      <c r="D65" s="49"/>
      <c r="E65" s="42"/>
      <c r="F65" s="42"/>
      <c r="G65" s="42"/>
      <c r="H65" s="42"/>
      <c r="I65" s="50"/>
      <c r="J65" s="134" t="b">
        <f>AND(NOT(LEFT(B65,6)="Gruppe"),NOT(LEFT(B66,6)="Gruppe"))</f>
        <v>0</v>
      </c>
      <c r="K65" s="60">
        <f>IF(AND(J65,B65=C65),1,0)</f>
        <v>0</v>
      </c>
      <c r="L65" s="135">
        <f>IF(AND(J65,B65=C65,B66=C66),1,0)</f>
        <v>0</v>
      </c>
      <c r="M65" s="135">
        <f>SUM(J65:L66)</f>
        <v>0</v>
      </c>
    </row>
    <row r="66" spans="2:13" x14ac:dyDescent="0.25">
      <c r="B66" s="46" t="str">
        <f>Spielplan!K91</f>
        <v>Gruppe B Platz 2</v>
      </c>
      <c r="C66" s="48" t="str">
        <f>Tippspiel!K91</f>
        <v>Gruppe B Platz 2</v>
      </c>
      <c r="D66" s="51"/>
      <c r="E66" s="52"/>
      <c r="F66" s="52"/>
      <c r="G66" s="52"/>
      <c r="H66" s="52"/>
      <c r="I66" s="53"/>
      <c r="J66" s="134"/>
      <c r="K66" s="60">
        <f>IF(AND(J65,B66=C66),1,0)</f>
        <v>0</v>
      </c>
      <c r="L66" s="137"/>
      <c r="M66" s="137"/>
    </row>
    <row r="68" spans="2:13" x14ac:dyDescent="0.25">
      <c r="B68" s="129" t="s">
        <v>127</v>
      </c>
      <c r="C68" s="130"/>
      <c r="D68" s="130"/>
      <c r="E68" s="130"/>
      <c r="F68" s="130"/>
      <c r="G68" s="130"/>
      <c r="H68" s="130"/>
      <c r="I68" s="130"/>
      <c r="J68" s="130"/>
      <c r="K68" s="130"/>
      <c r="L68" s="130"/>
      <c r="M68" s="138"/>
    </row>
    <row r="69" spans="2:13" x14ac:dyDescent="0.25">
      <c r="B69" s="55" t="s">
        <v>117</v>
      </c>
      <c r="C69" s="43" t="s">
        <v>118</v>
      </c>
      <c r="D69" s="56"/>
      <c r="E69" s="56"/>
      <c r="F69" s="56"/>
      <c r="G69" s="56"/>
      <c r="H69" s="56"/>
      <c r="I69" s="56"/>
      <c r="J69" s="47" t="s">
        <v>115</v>
      </c>
      <c r="K69" s="43" t="s">
        <v>119</v>
      </c>
      <c r="L69" s="43" t="s">
        <v>133</v>
      </c>
      <c r="M69" s="44" t="s">
        <v>26</v>
      </c>
    </row>
    <row r="70" spans="2:13" x14ac:dyDescent="0.25">
      <c r="B70" s="46" t="str">
        <f>Spielplan!F93</f>
        <v>Verlierer HF5</v>
      </c>
      <c r="C70" s="48" t="str">
        <f>Tippspiel!F93</f>
        <v>Verlierer HF5</v>
      </c>
      <c r="D70" s="49"/>
      <c r="E70" s="42"/>
      <c r="F70" s="42"/>
      <c r="G70" s="42"/>
      <c r="H70" s="42"/>
      <c r="I70" s="50"/>
      <c r="J70" s="134" t="b">
        <f>AND(NOT(LEFT(B70,9)="Verlierer"),NOT(LEFT(B71,9)="Verlierer"))</f>
        <v>0</v>
      </c>
      <c r="K70" s="60">
        <f>IF(AND(J70,B70=C70),1,0)</f>
        <v>0</v>
      </c>
      <c r="L70" s="135">
        <f>IF(AND(J70,B70=C70,B71=C71),1,0)</f>
        <v>0</v>
      </c>
      <c r="M70" s="135">
        <f>SUM(J70:L71)</f>
        <v>0</v>
      </c>
    </row>
    <row r="71" spans="2:13" x14ac:dyDescent="0.25">
      <c r="B71" s="46" t="str">
        <f>Spielplan!K93</f>
        <v>Verlierer HF6</v>
      </c>
      <c r="C71" s="48" t="str">
        <f>Tippspiel!K93</f>
        <v>Verlierer HF6</v>
      </c>
      <c r="D71" s="51"/>
      <c r="E71" s="52"/>
      <c r="F71" s="52"/>
      <c r="G71" s="52"/>
      <c r="H71" s="52"/>
      <c r="I71" s="53"/>
      <c r="J71" s="134"/>
      <c r="K71" s="60">
        <f>IF(AND(J70,B71=C71),1,0)</f>
        <v>0</v>
      </c>
      <c r="L71" s="137"/>
      <c r="M71" s="137"/>
    </row>
    <row r="73" spans="2:13" x14ac:dyDescent="0.25">
      <c r="B73" s="129" t="s">
        <v>128</v>
      </c>
      <c r="C73" s="130"/>
      <c r="D73" s="130"/>
      <c r="E73" s="130"/>
      <c r="F73" s="130"/>
      <c r="G73" s="130"/>
      <c r="H73" s="130"/>
      <c r="I73" s="130"/>
      <c r="J73" s="130"/>
      <c r="K73" s="130"/>
      <c r="L73" s="130"/>
      <c r="M73" s="138"/>
    </row>
    <row r="74" spans="2:13" x14ac:dyDescent="0.25">
      <c r="B74" s="55" t="s">
        <v>117</v>
      </c>
      <c r="C74" s="43" t="s">
        <v>118</v>
      </c>
      <c r="D74" s="56"/>
      <c r="E74" s="56"/>
      <c r="F74" s="56"/>
      <c r="G74" s="56"/>
      <c r="H74" s="56"/>
      <c r="I74" s="56"/>
      <c r="J74" s="47" t="s">
        <v>115</v>
      </c>
      <c r="K74" s="43" t="s">
        <v>119</v>
      </c>
      <c r="L74" s="43" t="s">
        <v>133</v>
      </c>
      <c r="M74" s="44" t="s">
        <v>26</v>
      </c>
    </row>
    <row r="75" spans="2:13" x14ac:dyDescent="0.25">
      <c r="B75" s="46" t="str">
        <f>Spielplan!F94</f>
        <v>Gewinner HF5</v>
      </c>
      <c r="C75" s="48" t="str">
        <f>Tippspiel!F94</f>
        <v>Gewinner HF5</v>
      </c>
      <c r="D75" s="49"/>
      <c r="E75" s="42"/>
      <c r="F75" s="42"/>
      <c r="G75" s="42"/>
      <c r="H75" s="42"/>
      <c r="I75" s="50"/>
      <c r="J75" s="134" t="b">
        <f>AND(NOT(LEFT(B75,8)="Gewinner"),NOT(LEFT(B76,8)="Gewinner"))</f>
        <v>0</v>
      </c>
      <c r="K75" s="60">
        <f>IF(AND(J75,B75=C75),1,0)</f>
        <v>0</v>
      </c>
      <c r="L75" s="135">
        <f>IF(AND(J75,B75=C75,B76=C76),1,0)</f>
        <v>0</v>
      </c>
      <c r="M75" s="135">
        <f>SUM(J75:L76)</f>
        <v>0</v>
      </c>
    </row>
    <row r="76" spans="2:13" x14ac:dyDescent="0.25">
      <c r="B76" s="46" t="str">
        <f>Spielplan!K94</f>
        <v>Gewinner HF6</v>
      </c>
      <c r="C76" s="48" t="str">
        <f>Tippspiel!K94</f>
        <v>Gewinner HF6</v>
      </c>
      <c r="D76" s="51"/>
      <c r="E76" s="52"/>
      <c r="F76" s="52"/>
      <c r="G76" s="52"/>
      <c r="H76" s="52"/>
      <c r="I76" s="53"/>
      <c r="J76" s="134"/>
      <c r="K76" s="60">
        <f>IF(AND(J75,B76=C76),1,0)</f>
        <v>0</v>
      </c>
      <c r="L76" s="137"/>
      <c r="M76" s="137"/>
    </row>
    <row r="78" spans="2:13" x14ac:dyDescent="0.25">
      <c r="B78" s="129" t="s">
        <v>129</v>
      </c>
      <c r="C78" s="130"/>
      <c r="D78" s="130"/>
      <c r="E78" s="130"/>
      <c r="F78" s="130"/>
      <c r="G78" s="130"/>
      <c r="H78" s="130"/>
      <c r="I78" s="130"/>
      <c r="J78" s="130"/>
      <c r="K78" s="130"/>
      <c r="L78" s="130"/>
      <c r="M78" s="138"/>
    </row>
    <row r="79" spans="2:13" x14ac:dyDescent="0.25">
      <c r="B79" s="55" t="s">
        <v>117</v>
      </c>
      <c r="C79" s="43" t="s">
        <v>118</v>
      </c>
      <c r="D79" s="56"/>
      <c r="E79" s="56"/>
      <c r="F79" s="56"/>
      <c r="G79" s="56"/>
      <c r="H79" s="56"/>
      <c r="I79" s="56"/>
      <c r="J79" s="47" t="s">
        <v>115</v>
      </c>
      <c r="K79" s="43" t="s">
        <v>119</v>
      </c>
      <c r="L79" s="43" t="s">
        <v>133</v>
      </c>
      <c r="M79" s="44" t="s">
        <v>26</v>
      </c>
    </row>
    <row r="80" spans="2:13" x14ac:dyDescent="0.25">
      <c r="B80" s="46" t="str">
        <f>Spielplan!F95</f>
        <v>Verlierer HF3</v>
      </c>
      <c r="C80" s="48" t="str">
        <f>Tippspiel!F95</f>
        <v>Verlierer HF3</v>
      </c>
      <c r="D80" s="49"/>
      <c r="E80" s="42"/>
      <c r="F80" s="42"/>
      <c r="G80" s="42"/>
      <c r="H80" s="42"/>
      <c r="I80" s="50"/>
      <c r="J80" s="134" t="b">
        <f>AND(NOT(LEFT(B80,9)="Verlierer"),NOT(LEFT(B81,9)="Verlierer"))</f>
        <v>0</v>
      </c>
      <c r="K80" s="60">
        <f>IF(AND(J80,B80=C80),1,0)</f>
        <v>0</v>
      </c>
      <c r="L80" s="135">
        <f>IF(AND(J80,B80=C80,B81=C81),1,0)</f>
        <v>0</v>
      </c>
      <c r="M80" s="135">
        <f>SUM(J80:L81)</f>
        <v>0</v>
      </c>
    </row>
    <row r="81" spans="2:13" x14ac:dyDescent="0.25">
      <c r="B81" s="46" t="str">
        <f>Spielplan!K95</f>
        <v>Verlierer HF4</v>
      </c>
      <c r="C81" s="48" t="str">
        <f>Tippspiel!K95</f>
        <v>Verlierer HF4</v>
      </c>
      <c r="D81" s="51"/>
      <c r="E81" s="52"/>
      <c r="F81" s="52"/>
      <c r="G81" s="52"/>
      <c r="H81" s="52"/>
      <c r="I81" s="53"/>
      <c r="J81" s="134"/>
      <c r="K81" s="60">
        <f>IF(AND(J80,B81=C81),1,0)</f>
        <v>0</v>
      </c>
      <c r="L81" s="137"/>
      <c r="M81" s="137"/>
    </row>
    <row r="83" spans="2:13" x14ac:dyDescent="0.25">
      <c r="B83" s="129" t="s">
        <v>130</v>
      </c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8"/>
    </row>
    <row r="84" spans="2:13" x14ac:dyDescent="0.25">
      <c r="B84" s="55" t="s">
        <v>117</v>
      </c>
      <c r="C84" s="43" t="s">
        <v>118</v>
      </c>
      <c r="D84" s="56"/>
      <c r="E84" s="56"/>
      <c r="F84" s="56"/>
      <c r="G84" s="56"/>
      <c r="H84" s="56"/>
      <c r="I84" s="56"/>
      <c r="J84" s="47" t="s">
        <v>115</v>
      </c>
      <c r="K84" s="43" t="s">
        <v>119</v>
      </c>
      <c r="L84" s="43" t="s">
        <v>133</v>
      </c>
      <c r="M84" s="44" t="s">
        <v>26</v>
      </c>
    </row>
    <row r="85" spans="2:13" x14ac:dyDescent="0.25">
      <c r="B85" s="46" t="str">
        <f>Spielplan!F96</f>
        <v>Gewinner HF3</v>
      </c>
      <c r="C85" s="48" t="str">
        <f>Tippspiel!F96</f>
        <v>Gewinner HF3</v>
      </c>
      <c r="D85" s="49"/>
      <c r="E85" s="42"/>
      <c r="F85" s="42"/>
      <c r="G85" s="42"/>
      <c r="H85" s="42"/>
      <c r="I85" s="50"/>
      <c r="J85" s="134" t="b">
        <f>AND(NOT(LEFT(B85,8)="Gewinner"),NOT(LEFT(B86,8)="Gewinner"))</f>
        <v>0</v>
      </c>
      <c r="K85" s="60">
        <f>IF(AND(J85,B85=C85),1,0)</f>
        <v>0</v>
      </c>
      <c r="L85" s="135">
        <f>IF(AND(J85,B85=C85,B86=C86),1,0)</f>
        <v>0</v>
      </c>
      <c r="M85" s="135">
        <f>SUM(J85:L86)</f>
        <v>0</v>
      </c>
    </row>
    <row r="86" spans="2:13" x14ac:dyDescent="0.25">
      <c r="B86" s="46" t="str">
        <f>Tippspiel!K96</f>
        <v>Gewinner HF4</v>
      </c>
      <c r="C86" s="48" t="str">
        <f>Tippspiel!K96</f>
        <v>Gewinner HF4</v>
      </c>
      <c r="D86" s="51"/>
      <c r="E86" s="52"/>
      <c r="F86" s="52"/>
      <c r="G86" s="52"/>
      <c r="H86" s="52"/>
      <c r="I86" s="53"/>
      <c r="J86" s="134"/>
      <c r="K86" s="60">
        <f>IF(AND(J85,B86=C86),1,0)</f>
        <v>0</v>
      </c>
      <c r="L86" s="137"/>
      <c r="M86" s="137"/>
    </row>
    <row r="88" spans="2:13" x14ac:dyDescent="0.25">
      <c r="B88" s="129" t="s">
        <v>131</v>
      </c>
      <c r="C88" s="130"/>
      <c r="D88" s="130"/>
      <c r="E88" s="130"/>
      <c r="F88" s="130"/>
      <c r="G88" s="130"/>
      <c r="H88" s="130"/>
      <c r="I88" s="130"/>
      <c r="J88" s="130"/>
      <c r="K88" s="130"/>
      <c r="L88" s="130"/>
      <c r="M88" s="138"/>
    </row>
    <row r="89" spans="2:13" x14ac:dyDescent="0.25">
      <c r="B89" s="55" t="s">
        <v>117</v>
      </c>
      <c r="C89" s="43" t="s">
        <v>118</v>
      </c>
      <c r="D89" s="56"/>
      <c r="E89" s="56"/>
      <c r="F89" s="56"/>
      <c r="G89" s="56"/>
      <c r="H89" s="56"/>
      <c r="I89" s="56"/>
      <c r="J89" s="47" t="s">
        <v>115</v>
      </c>
      <c r="K89" s="43" t="s">
        <v>119</v>
      </c>
      <c r="L89" s="43" t="s">
        <v>133</v>
      </c>
      <c r="M89" s="44" t="s">
        <v>26</v>
      </c>
    </row>
    <row r="90" spans="2:13" x14ac:dyDescent="0.25">
      <c r="B90" s="46" t="str">
        <f>Spielplan!F97</f>
        <v>Verlierer HF1</v>
      </c>
      <c r="C90" s="48" t="str">
        <f>Tippspiel!F97</f>
        <v>Verlierer HF1</v>
      </c>
      <c r="D90" s="49"/>
      <c r="E90" s="42"/>
      <c r="F90" s="42"/>
      <c r="G90" s="42"/>
      <c r="H90" s="42"/>
      <c r="I90" s="50"/>
      <c r="J90" s="134" t="b">
        <f>AND(NOT(LEFT(B90,9)="Verlierer"),NOT(LEFT(B91,9)="Verlierer"))</f>
        <v>0</v>
      </c>
      <c r="K90" s="60">
        <f>IF(AND(J90,B90=C90),1,0)</f>
        <v>0</v>
      </c>
      <c r="L90" s="135">
        <f>IF(AND(J90,B90=C90,B91=C91),1,0)</f>
        <v>0</v>
      </c>
      <c r="M90" s="135">
        <f>SUM(J90:L91)</f>
        <v>0</v>
      </c>
    </row>
    <row r="91" spans="2:13" x14ac:dyDescent="0.25">
      <c r="B91" s="46" t="str">
        <f>Spielplan!K97</f>
        <v>Verlierer HF2</v>
      </c>
      <c r="C91" s="48" t="str">
        <f>Tippspiel!K97</f>
        <v>Verlierer HF2</v>
      </c>
      <c r="D91" s="51"/>
      <c r="E91" s="52"/>
      <c r="F91" s="52"/>
      <c r="G91" s="52"/>
      <c r="H91" s="52"/>
      <c r="I91" s="53"/>
      <c r="J91" s="134"/>
      <c r="K91" s="60">
        <f>IF(AND(J90,B91=C91),1,0)</f>
        <v>0</v>
      </c>
      <c r="L91" s="137"/>
      <c r="M91" s="137"/>
    </row>
    <row r="93" spans="2:13" x14ac:dyDescent="0.25">
      <c r="B93" s="129" t="s">
        <v>132</v>
      </c>
      <c r="C93" s="130"/>
      <c r="D93" s="130"/>
      <c r="E93" s="130"/>
      <c r="F93" s="130"/>
      <c r="G93" s="130"/>
      <c r="H93" s="130"/>
      <c r="I93" s="130"/>
      <c r="J93" s="130"/>
      <c r="K93" s="130"/>
      <c r="L93" s="130"/>
      <c r="M93" s="138"/>
    </row>
    <row r="94" spans="2:13" x14ac:dyDescent="0.25">
      <c r="B94" s="55" t="s">
        <v>117</v>
      </c>
      <c r="C94" s="43" t="s">
        <v>118</v>
      </c>
      <c r="D94" s="56"/>
      <c r="E94" s="56"/>
      <c r="F94" s="56"/>
      <c r="G94" s="56"/>
      <c r="H94" s="56"/>
      <c r="I94" s="56"/>
      <c r="J94" s="47" t="s">
        <v>115</v>
      </c>
      <c r="K94" s="43" t="s">
        <v>119</v>
      </c>
      <c r="L94" s="43" t="s">
        <v>133</v>
      </c>
      <c r="M94" s="44" t="s">
        <v>26</v>
      </c>
    </row>
    <row r="95" spans="2:13" x14ac:dyDescent="0.25">
      <c r="B95" s="46" t="str">
        <f>Spielplan!F98</f>
        <v>Gewinner HF1</v>
      </c>
      <c r="C95" s="48" t="str">
        <f>Tippspiel!F98</f>
        <v>Gewinner HF1</v>
      </c>
      <c r="D95" s="49"/>
      <c r="E95" s="42"/>
      <c r="F95" s="42"/>
      <c r="G95" s="42"/>
      <c r="H95" s="42"/>
      <c r="I95" s="50"/>
      <c r="J95" s="134" t="b">
        <f>AND(NOT(LEFT(B95,8)="Gewinner"),NOT(LEFT(B96,8)="Gewinner"))</f>
        <v>0</v>
      </c>
      <c r="K95" s="60">
        <f>IF(AND(J95,B95=C95),1,0)</f>
        <v>0</v>
      </c>
      <c r="L95" s="135">
        <f>IF(AND(J95,B95=C95,B96=C96),1,0)</f>
        <v>0</v>
      </c>
      <c r="M95" s="135">
        <f>SUM(J95:L96)</f>
        <v>0</v>
      </c>
    </row>
    <row r="96" spans="2:13" x14ac:dyDescent="0.25">
      <c r="B96" s="46" t="str">
        <f>Spielplan!K98</f>
        <v>Gewinner HF2</v>
      </c>
      <c r="C96" s="48" t="str">
        <f>Tippspiel!K98</f>
        <v>Gewinner HF2</v>
      </c>
      <c r="D96" s="51"/>
      <c r="E96" s="52"/>
      <c r="F96" s="52"/>
      <c r="G96" s="52"/>
      <c r="H96" s="52"/>
      <c r="I96" s="53"/>
      <c r="J96" s="134"/>
      <c r="K96" s="60">
        <f>IF(AND(J95,B96=C96),1,0)</f>
        <v>0</v>
      </c>
      <c r="L96" s="137"/>
      <c r="M96" s="137"/>
    </row>
    <row r="98" spans="2:13" x14ac:dyDescent="0.25">
      <c r="B98" s="129" t="s">
        <v>134</v>
      </c>
      <c r="C98" s="130"/>
      <c r="D98" s="130"/>
      <c r="E98" s="130"/>
      <c r="F98" s="130"/>
      <c r="G98" s="130"/>
      <c r="H98" s="130"/>
      <c r="I98" s="130"/>
      <c r="J98" s="130"/>
      <c r="K98" s="130"/>
      <c r="L98" s="130"/>
      <c r="M98" s="138"/>
    </row>
    <row r="99" spans="2:13" x14ac:dyDescent="0.25">
      <c r="B99" s="55" t="s">
        <v>117</v>
      </c>
      <c r="C99" s="43" t="s">
        <v>118</v>
      </c>
      <c r="D99" s="57"/>
      <c r="E99" s="57"/>
      <c r="F99" s="57"/>
      <c r="G99" s="57"/>
      <c r="H99" s="57"/>
      <c r="I99" s="57"/>
      <c r="J99" s="43" t="s">
        <v>115</v>
      </c>
      <c r="K99" s="57" t="s">
        <v>119</v>
      </c>
      <c r="L99" s="43" t="s">
        <v>133</v>
      </c>
      <c r="M99" s="44" t="s">
        <v>26</v>
      </c>
    </row>
    <row r="100" spans="2:13" x14ac:dyDescent="0.25">
      <c r="B100" s="46" t="str">
        <f>Spielplan!C105</f>
        <v>Gewinner Spiel um Platz 3</v>
      </c>
      <c r="C100" s="48" t="str">
        <f>Tippspiel!C105</f>
        <v>Gewinner Spiel um Platz 3</v>
      </c>
      <c r="D100" s="49"/>
      <c r="E100" s="42"/>
      <c r="F100" s="42"/>
      <c r="G100" s="42"/>
      <c r="H100" s="42"/>
      <c r="I100" s="50"/>
      <c r="J100" s="134" t="b">
        <f>AND(NOT(LEFT(B102,8)="Gewinner"),NOT(LEFT(B101,9)="Verlierer"),NOT(LEFT(B100,8)="Gewinner"))</f>
        <v>0</v>
      </c>
      <c r="K100" s="60">
        <f>IF(AND($J$100,B100=C100),2,0)</f>
        <v>0</v>
      </c>
      <c r="L100" s="135">
        <f>IF(AND(J100,B100=C100,B101=C101,B102=C102),1,0)</f>
        <v>0</v>
      </c>
      <c r="M100" s="135">
        <v>0</v>
      </c>
    </row>
    <row r="101" spans="2:13" x14ac:dyDescent="0.25">
      <c r="B101" s="46" t="str">
        <f>Spielplan!C104</f>
        <v>Verlierer Spiel um Platz 1</v>
      </c>
      <c r="C101" s="48" t="str">
        <f>Tippspiel!C104</f>
        <v>Verlierer Spiel um Platz 1</v>
      </c>
      <c r="D101" s="58"/>
      <c r="I101" s="54"/>
      <c r="J101" s="134"/>
      <c r="K101" s="60">
        <f>IF(AND($J$100,B101=C101),3,0)</f>
        <v>0</v>
      </c>
      <c r="L101" s="136"/>
      <c r="M101" s="136"/>
    </row>
    <row r="102" spans="2:13" x14ac:dyDescent="0.25">
      <c r="B102" s="46" t="str">
        <f>Spielplan!C103</f>
        <v>Gewinner Spiel um Platz 1</v>
      </c>
      <c r="C102" s="48" t="str">
        <f>Tippspiel!C103</f>
        <v>Gewinner Spiel um Platz 1</v>
      </c>
      <c r="D102" s="51"/>
      <c r="E102" s="52"/>
      <c r="F102" s="52"/>
      <c r="G102" s="52"/>
      <c r="H102" s="52"/>
      <c r="I102" s="53"/>
      <c r="J102" s="134"/>
      <c r="K102" s="60">
        <f>IF(AND($J$100,B102=C102),5,0)</f>
        <v>0</v>
      </c>
      <c r="L102" s="137"/>
      <c r="M102" s="137"/>
    </row>
  </sheetData>
  <sheetProtection algorithmName="SHA-512" hashValue="ToauI+YfQMEmZV09xedphp2GWH2bjcXDVgIxKYx+2SKaHODsfto8+r1DKRPLqrE59TR6DdOacsRcCPOHXSCKrw==" saltValue="SXTstZAc1pmILji1NS8RMw==" spinCount="100000" sheet="1" objects="1" scenarios="1"/>
  <mergeCells count="58">
    <mergeCell ref="B48:M48"/>
    <mergeCell ref="B53:M53"/>
    <mergeCell ref="L50:L51"/>
    <mergeCell ref="M50:M51"/>
    <mergeCell ref="L55:L56"/>
    <mergeCell ref="M55:M56"/>
    <mergeCell ref="J50:J51"/>
    <mergeCell ref="J55:J56"/>
    <mergeCell ref="L45:L46"/>
    <mergeCell ref="M45:M46"/>
    <mergeCell ref="J45:J46"/>
    <mergeCell ref="B38:M38"/>
    <mergeCell ref="B43:M43"/>
    <mergeCell ref="J40:J41"/>
    <mergeCell ref="L40:L41"/>
    <mergeCell ref="M40:M41"/>
    <mergeCell ref="B58:M58"/>
    <mergeCell ref="L60:L61"/>
    <mergeCell ref="M60:M61"/>
    <mergeCell ref="L65:L66"/>
    <mergeCell ref="M65:M66"/>
    <mergeCell ref="J60:J61"/>
    <mergeCell ref="J65:J66"/>
    <mergeCell ref="B63:M63"/>
    <mergeCell ref="B68:M68"/>
    <mergeCell ref="L70:L71"/>
    <mergeCell ref="M70:M71"/>
    <mergeCell ref="L75:L76"/>
    <mergeCell ref="M75:M76"/>
    <mergeCell ref="J70:J71"/>
    <mergeCell ref="J75:J76"/>
    <mergeCell ref="B73:M73"/>
    <mergeCell ref="B78:M78"/>
    <mergeCell ref="J95:J96"/>
    <mergeCell ref="L80:L81"/>
    <mergeCell ref="M80:M81"/>
    <mergeCell ref="L85:L86"/>
    <mergeCell ref="M85:M86"/>
    <mergeCell ref="J80:J81"/>
    <mergeCell ref="J85:J86"/>
    <mergeCell ref="B83:M83"/>
    <mergeCell ref="B88:M88"/>
    <mergeCell ref="B93:M93"/>
    <mergeCell ref="J100:J102"/>
    <mergeCell ref="L100:L102"/>
    <mergeCell ref="M100:M102"/>
    <mergeCell ref="L90:L91"/>
    <mergeCell ref="M90:M91"/>
    <mergeCell ref="L95:L96"/>
    <mergeCell ref="M95:M96"/>
    <mergeCell ref="J90:J91"/>
    <mergeCell ref="B98:M98"/>
    <mergeCell ref="G2:I2"/>
    <mergeCell ref="B2:C2"/>
    <mergeCell ref="D2:F2"/>
    <mergeCell ref="B20:C20"/>
    <mergeCell ref="D20:F20"/>
    <mergeCell ref="G20:I20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9B398-22C2-4A94-974B-2E81D8B7A2C5}">
  <dimension ref="A2:BN85"/>
  <sheetViews>
    <sheetView workbookViewId="0">
      <selection activeCell="C31" sqref="C31"/>
    </sheetView>
  </sheetViews>
  <sheetFormatPr baseColWidth="10" defaultRowHeight="15" x14ac:dyDescent="0.25"/>
  <cols>
    <col min="1" max="1" width="42.7109375" bestFit="1" customWidth="1"/>
    <col min="2" max="3" width="21.85546875" bestFit="1" customWidth="1"/>
    <col min="4" max="5" width="4.5703125" customWidth="1"/>
    <col min="6" max="6" width="5" customWidth="1"/>
    <col min="7" max="7" width="25.7109375" customWidth="1"/>
    <col min="8" max="9" width="3.7109375" customWidth="1"/>
    <col min="10" max="12" width="3.7109375" bestFit="1" customWidth="1"/>
    <col min="13" max="13" width="3.7109375" customWidth="1"/>
    <col min="14" max="14" width="6.7109375" customWidth="1"/>
    <col min="15" max="15" width="25.7109375" customWidth="1"/>
    <col min="16" max="21" width="3.7109375" customWidth="1"/>
    <col min="22" max="22" width="6.7109375" customWidth="1"/>
    <col min="23" max="23" width="5.7109375" customWidth="1"/>
    <col min="25" max="25" width="25.7109375" customWidth="1"/>
    <col min="33" max="33" width="46.42578125" bestFit="1" customWidth="1"/>
    <col min="34" max="35" width="25" customWidth="1"/>
    <col min="36" max="37" width="4.85546875" customWidth="1"/>
    <col min="38" max="38" width="5" customWidth="1"/>
    <col min="39" max="39" width="25.7109375" customWidth="1"/>
    <col min="40" max="44" width="3.7109375" customWidth="1"/>
    <col min="45" max="45" width="3.85546875" customWidth="1"/>
    <col min="46" max="46" width="6.7109375" customWidth="1"/>
    <col min="47" max="47" width="25.7109375" customWidth="1"/>
    <col min="48" max="53" width="3.7109375" customWidth="1"/>
    <col min="54" max="54" width="6.7109375" customWidth="1"/>
    <col min="57" max="57" width="25.7109375" customWidth="1"/>
  </cols>
  <sheetData>
    <row r="2" spans="1:66" x14ac:dyDescent="0.25">
      <c r="A2" s="144" t="s">
        <v>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</row>
    <row r="3" spans="1:66" x14ac:dyDescent="0.25">
      <c r="A3" s="141" t="s">
        <v>2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  <c r="AG3" s="141" t="s">
        <v>75</v>
      </c>
      <c r="AH3" s="141"/>
      <c r="AI3" s="141"/>
      <c r="AJ3" s="141"/>
      <c r="AK3" s="141"/>
      <c r="AL3" s="141"/>
      <c r="AM3" s="141"/>
      <c r="AN3" s="141"/>
      <c r="AO3" s="141"/>
      <c r="AP3" s="141"/>
      <c r="AQ3" s="141"/>
      <c r="AR3" s="141"/>
      <c r="AS3" s="141"/>
      <c r="AT3" s="141"/>
      <c r="AU3" s="141"/>
      <c r="AV3" s="141"/>
      <c r="AW3" s="141"/>
      <c r="AX3" s="141"/>
      <c r="AY3" s="141"/>
      <c r="AZ3" s="141"/>
      <c r="BA3" s="141"/>
      <c r="BB3" s="141"/>
      <c r="BC3" s="141"/>
      <c r="BD3" s="141"/>
      <c r="BE3" s="141"/>
      <c r="BF3" s="141"/>
      <c r="BG3" s="141"/>
      <c r="BH3" s="141"/>
      <c r="BI3" s="141"/>
      <c r="BJ3" s="141"/>
      <c r="BK3" s="141"/>
      <c r="BL3" s="141"/>
      <c r="BM3" s="141"/>
      <c r="BN3" s="141"/>
    </row>
    <row r="4" spans="1:66" x14ac:dyDescent="0.25">
      <c r="B4" t="s">
        <v>29</v>
      </c>
      <c r="C4" t="s">
        <v>30</v>
      </c>
      <c r="D4" s="145" t="s">
        <v>3</v>
      </c>
      <c r="E4" s="145"/>
      <c r="AH4" t="s">
        <v>29</v>
      </c>
      <c r="AI4" t="s">
        <v>30</v>
      </c>
      <c r="AJ4" s="145" t="s">
        <v>3</v>
      </c>
      <c r="AK4" s="145"/>
    </row>
    <row r="5" spans="1:66" ht="15" customHeight="1" x14ac:dyDescent="0.25">
      <c r="A5" t="str">
        <f>B5&amp;C5</f>
        <v>DampfnudelMUH-Bande Jena</v>
      </c>
      <c r="B5" t="str">
        <f>Spielplan!F16</f>
        <v>Dampfnudel</v>
      </c>
      <c r="C5" t="str">
        <f>Spielplan!K16</f>
        <v>MUH-Bande Jena</v>
      </c>
      <c r="D5" t="str">
        <f>IF(ISNUMBER(Spielplan!M16),Spielplan!M16,"")</f>
        <v/>
      </c>
      <c r="E5" t="str">
        <f>IF(ISNUMBER(Spielplan!O16),Spielplan!O16,"")</f>
        <v/>
      </c>
      <c r="G5" s="142" t="s">
        <v>27</v>
      </c>
      <c r="H5" s="143" t="str">
        <f>G13</f>
        <v>BTC Heisse Reifen</v>
      </c>
      <c r="I5" s="143" t="str">
        <f>G14</f>
        <v>Hockey Hawks</v>
      </c>
      <c r="J5" s="143" t="str">
        <f>G15</f>
        <v>Dampfnudel</v>
      </c>
      <c r="K5" s="143" t="str">
        <f>G16</f>
        <v>FunPowerTeam</v>
      </c>
      <c r="L5" s="143" t="str">
        <f>G17</f>
        <v>Einradhockey Elmshorn</v>
      </c>
      <c r="M5" s="143" t="str">
        <f>G18</f>
        <v>MUH-Bande Jena</v>
      </c>
      <c r="O5" s="142" t="s">
        <v>26</v>
      </c>
      <c r="P5" s="143" t="str">
        <f>O13</f>
        <v>BTC Heisse Reifen</v>
      </c>
      <c r="Q5" s="143" t="str">
        <f>O14</f>
        <v>Hockey Hawks</v>
      </c>
      <c r="R5" s="143" t="str">
        <f>O15</f>
        <v>Dampfnudel</v>
      </c>
      <c r="S5" s="143" t="str">
        <f>O16</f>
        <v>FunPowerTeam</v>
      </c>
      <c r="T5" s="143" t="str">
        <f>O17</f>
        <v>Einradhockey Elmshorn</v>
      </c>
      <c r="U5" s="143" t="str">
        <f>O18</f>
        <v>MUH-Bande Jena</v>
      </c>
      <c r="Y5" s="2" t="s">
        <v>33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31</v>
      </c>
      <c r="AE5" s="2" t="s">
        <v>32</v>
      </c>
      <c r="AG5" t="str">
        <f>AH5&amp;AI5</f>
        <v>MJC Trier - Die LegionäreGeisterfahrer</v>
      </c>
      <c r="AH5" t="str">
        <f>Spielplan!F54</f>
        <v>MJC Trier - Die Legionäre</v>
      </c>
      <c r="AI5" t="str">
        <f>Spielplan!K54</f>
        <v>Geisterfahrer</v>
      </c>
      <c r="AJ5" t="str">
        <f>IF(ISNUMBER(Spielplan!M54),Spielplan!M54,"")</f>
        <v/>
      </c>
      <c r="AK5" t="str">
        <f>IF(ISNUMBER(Spielplan!O54),Spielplan!O54,"")</f>
        <v/>
      </c>
      <c r="AM5" s="142" t="s">
        <v>27</v>
      </c>
      <c r="AN5" s="143" t="str">
        <f>AM13</f>
        <v>OnewheeleRS</v>
      </c>
      <c r="AO5" s="143" t="str">
        <f>AM14</f>
        <v>Querrad</v>
      </c>
      <c r="AP5" s="143" t="str">
        <f>AM15</f>
        <v>MJC Trier - Die Legionäre</v>
      </c>
      <c r="AQ5" s="143" t="str" cm="1">
        <f t="array" ref="AQ5">_xlfn.ANCHORARRAY(AM16)</f>
        <v>SKV Mörfelden UniThunder</v>
      </c>
      <c r="AR5" s="143" t="str">
        <f>AM17</f>
        <v>MJC Trier - Die Treverer</v>
      </c>
      <c r="AS5" s="143" t="str">
        <f>AM18</f>
        <v>Geisterfahrer</v>
      </c>
      <c r="AU5" s="142" t="s">
        <v>26</v>
      </c>
      <c r="AV5" s="143" t="str">
        <f>AU13</f>
        <v>OnewheeleRS</v>
      </c>
      <c r="AW5" s="143" t="str">
        <f>AU14</f>
        <v>Querrad</v>
      </c>
      <c r="AX5" s="143" t="str">
        <f>AU15</f>
        <v>MJC Trier - Die Legionäre</v>
      </c>
      <c r="AY5" s="143" t="str">
        <f>AU16</f>
        <v>SKV Mörfelden UniThunder</v>
      </c>
      <c r="AZ5" s="143" t="str">
        <f>AU17</f>
        <v>MJC Trier - Die Treverer</v>
      </c>
      <c r="BA5" s="143" t="str">
        <f>AU18</f>
        <v>Geisterfahrer</v>
      </c>
      <c r="BE5" s="2" t="s">
        <v>33</v>
      </c>
      <c r="BF5" s="2" t="s">
        <v>25</v>
      </c>
      <c r="BG5" s="2" t="s">
        <v>26</v>
      </c>
      <c r="BH5" s="2" t="s">
        <v>27</v>
      </c>
      <c r="BI5" s="2" t="s">
        <v>28</v>
      </c>
      <c r="BJ5" s="2" t="s">
        <v>31</v>
      </c>
      <c r="BK5" s="2" t="s">
        <v>32</v>
      </c>
    </row>
    <row r="6" spans="1:66" x14ac:dyDescent="0.25">
      <c r="A6" t="str">
        <f t="shared" ref="A6:A19" si="0">B6&amp;C6</f>
        <v>Hockey HawksEinradhockey Elmshorn</v>
      </c>
      <c r="B6" t="str">
        <f>Spielplan!F17</f>
        <v>Hockey Hawks</v>
      </c>
      <c r="C6" t="str">
        <f>Spielplan!K17</f>
        <v>Einradhockey Elmshorn</v>
      </c>
      <c r="D6" t="str">
        <f>IF(ISNUMBER(Spielplan!M17),Spielplan!M17,"")</f>
        <v/>
      </c>
      <c r="E6" t="str">
        <f>IF(ISNUMBER(Spielplan!O17),Spielplan!O17,"")</f>
        <v/>
      </c>
      <c r="G6" s="142"/>
      <c r="H6" s="143"/>
      <c r="I6" s="143"/>
      <c r="J6" s="143"/>
      <c r="K6" s="143"/>
      <c r="L6" s="143"/>
      <c r="M6" s="143"/>
      <c r="O6" s="142"/>
      <c r="P6" s="143"/>
      <c r="Q6" s="143"/>
      <c r="R6" s="143"/>
      <c r="S6" s="143"/>
      <c r="T6" s="143"/>
      <c r="U6" s="143"/>
      <c r="W6">
        <f>RANK(X6,$X$6:$X$11)</f>
        <v>1</v>
      </c>
      <c r="X6">
        <f t="shared" ref="X6:X11" si="1">10000*AA6+100*AB6+AE6</f>
        <v>0.6</v>
      </c>
      <c r="Y6" t="str">
        <f t="shared" ref="Y6:Y11" si="2">G13</f>
        <v>BTC Heisse Reifen</v>
      </c>
      <c r="Z6">
        <f>IF(COUNT(H13:M13)=COUNT(H13:H18),COUNT(H13:M13),"")</f>
        <v>0</v>
      </c>
      <c r="AA6">
        <f t="shared" ref="AA6:AA11" si="3">SUM(P13:U13)</f>
        <v>0</v>
      </c>
      <c r="AB6">
        <f t="shared" ref="AB6:AB11" si="4">SUM(H13:M13)</f>
        <v>0</v>
      </c>
      <c r="AC6">
        <f>SUM(H13:H18)</f>
        <v>0</v>
      </c>
      <c r="AD6">
        <f>AB6-AC6</f>
        <v>0</v>
      </c>
      <c r="AE6">
        <v>0.6</v>
      </c>
      <c r="AG6" t="str">
        <f t="shared" ref="AG6:AG19" si="5">AH6&amp;AI6</f>
        <v>QuerradMJC Trier - Die Treverer</v>
      </c>
      <c r="AH6" t="str">
        <f>Spielplan!F55</f>
        <v>Querrad</v>
      </c>
      <c r="AI6" t="str">
        <f>Spielplan!K55</f>
        <v>MJC Trier - Die Treverer</v>
      </c>
      <c r="AJ6" t="str">
        <f>IF(ISNUMBER(Spielplan!M55),Spielplan!M55,"")</f>
        <v/>
      </c>
      <c r="AK6" t="str">
        <f>IF(ISNUMBER(Spielplan!O55),Spielplan!O55,"")</f>
        <v/>
      </c>
      <c r="AM6" s="142"/>
      <c r="AN6" s="143"/>
      <c r="AO6" s="143"/>
      <c r="AP6" s="143"/>
      <c r="AQ6" s="143"/>
      <c r="AR6" s="143"/>
      <c r="AS6" s="143"/>
      <c r="AU6" s="142"/>
      <c r="AV6" s="143"/>
      <c r="AW6" s="143"/>
      <c r="AX6" s="143"/>
      <c r="AY6" s="143"/>
      <c r="AZ6" s="143"/>
      <c r="BA6" s="143"/>
      <c r="BC6">
        <f>RANK(BD6,$BD$6:$BD$11)</f>
        <v>1</v>
      </c>
      <c r="BD6">
        <f t="shared" ref="BD6:BD10" si="6">10000*BG6+100*BH6+BK6</f>
        <v>0.6</v>
      </c>
      <c r="BE6" t="str">
        <f t="shared" ref="BE6:BE11" si="7">AM13</f>
        <v>OnewheeleRS</v>
      </c>
      <c r="BF6">
        <f>IF(COUNT(AN13:AS13)=COUNT(AN13:AN18),COUNT(AN13:AS13),"")</f>
        <v>0</v>
      </c>
      <c r="BG6">
        <f t="shared" ref="BG6:BG11" si="8">SUM(AV13:BA13)</f>
        <v>0</v>
      </c>
      <c r="BH6">
        <f t="shared" ref="BH6:BH11" si="9">SUM(AN13:AS13)</f>
        <v>0</v>
      </c>
      <c r="BI6">
        <f>SUM(AN13:AN18)</f>
        <v>0</v>
      </c>
      <c r="BJ6">
        <f>BH6-BI6</f>
        <v>0</v>
      </c>
      <c r="BK6">
        <v>0.6</v>
      </c>
    </row>
    <row r="7" spans="1:66" x14ac:dyDescent="0.25">
      <c r="A7" t="str">
        <f t="shared" si="0"/>
        <v>BTC Heisse ReifenFunPowerTeam</v>
      </c>
      <c r="B7" t="str">
        <f>Spielplan!F18</f>
        <v>BTC Heisse Reifen</v>
      </c>
      <c r="C7" t="str">
        <f>Spielplan!K18</f>
        <v>FunPowerTeam</v>
      </c>
      <c r="D7" t="str">
        <f>IF(ISNUMBER(Spielplan!M18),Spielplan!M18,"")</f>
        <v/>
      </c>
      <c r="E7" t="str">
        <f>IF(ISNUMBER(Spielplan!O18),Spielplan!O18,"")</f>
        <v/>
      </c>
      <c r="G7" s="142"/>
      <c r="H7" s="143"/>
      <c r="I7" s="143"/>
      <c r="J7" s="143"/>
      <c r="K7" s="143"/>
      <c r="L7" s="143"/>
      <c r="M7" s="143"/>
      <c r="O7" s="142"/>
      <c r="P7" s="143"/>
      <c r="Q7" s="143"/>
      <c r="R7" s="143"/>
      <c r="S7" s="143"/>
      <c r="T7" s="143"/>
      <c r="U7" s="143"/>
      <c r="W7">
        <f t="shared" ref="W7:W11" si="10">RANK(X7,$X$6:$X$11)</f>
        <v>2</v>
      </c>
      <c r="X7">
        <f t="shared" si="1"/>
        <v>0.5</v>
      </c>
      <c r="Y7" t="str">
        <f t="shared" si="2"/>
        <v>Hockey Hawks</v>
      </c>
      <c r="Z7">
        <f>IF(COUNT(H14:M14)=COUNT(I13:I18),COUNT(H14:M14),"")</f>
        <v>0</v>
      </c>
      <c r="AA7">
        <f t="shared" si="3"/>
        <v>0</v>
      </c>
      <c r="AB7">
        <f t="shared" si="4"/>
        <v>0</v>
      </c>
      <c r="AC7">
        <f>SUM(I13:I18)</f>
        <v>0</v>
      </c>
      <c r="AD7">
        <f t="shared" ref="AD7:AD11" si="11">AB7-AC7</f>
        <v>0</v>
      </c>
      <c r="AE7">
        <v>0.5</v>
      </c>
      <c r="AG7" t="str">
        <f t="shared" si="5"/>
        <v>OnewheeleRSSKV Mörfelden UniThunder</v>
      </c>
      <c r="AH7" t="str">
        <f>Spielplan!F56</f>
        <v>OnewheeleRS</v>
      </c>
      <c r="AI7" t="str">
        <f>Spielplan!K56</f>
        <v>SKV Mörfelden UniThunder</v>
      </c>
      <c r="AJ7" t="str">
        <f>IF(ISNUMBER(Spielplan!M56),Spielplan!M56,"")</f>
        <v/>
      </c>
      <c r="AK7" t="str">
        <f>IF(ISNUMBER(Spielplan!O56),Spielplan!O56,"")</f>
        <v/>
      </c>
      <c r="AM7" s="142"/>
      <c r="AN7" s="143"/>
      <c r="AO7" s="143"/>
      <c r="AP7" s="143"/>
      <c r="AQ7" s="143"/>
      <c r="AR7" s="143"/>
      <c r="AS7" s="143"/>
      <c r="AU7" s="142"/>
      <c r="AV7" s="143"/>
      <c r="AW7" s="143"/>
      <c r="AX7" s="143"/>
      <c r="AY7" s="143"/>
      <c r="AZ7" s="143"/>
      <c r="BA7" s="143"/>
      <c r="BC7">
        <f t="shared" ref="BC7:BC11" si="12">RANK(BD7,$BD$6:$BD$11)</f>
        <v>2</v>
      </c>
      <c r="BD7">
        <f t="shared" si="6"/>
        <v>0.5</v>
      </c>
      <c r="BE7" t="str">
        <f t="shared" si="7"/>
        <v>Querrad</v>
      </c>
      <c r="BF7">
        <f>IF(COUNT(AN14:AS14)=COUNT(AO13:AO18),COUNT(AN14:AS14),"")</f>
        <v>0</v>
      </c>
      <c r="BG7">
        <f t="shared" si="8"/>
        <v>0</v>
      </c>
      <c r="BH7">
        <f t="shared" si="9"/>
        <v>0</v>
      </c>
      <c r="BI7">
        <f>SUM(AO13:AO18)</f>
        <v>0</v>
      </c>
      <c r="BJ7">
        <f t="shared" ref="BJ7:BJ11" si="13">BH7-BI7</f>
        <v>0</v>
      </c>
      <c r="BK7">
        <v>0.5</v>
      </c>
    </row>
    <row r="8" spans="1:66" x14ac:dyDescent="0.25">
      <c r="A8" t="str">
        <f t="shared" si="0"/>
        <v>Hockey HawksDampfnudel</v>
      </c>
      <c r="B8" t="str">
        <f>Spielplan!F19</f>
        <v>Hockey Hawks</v>
      </c>
      <c r="C8" t="str">
        <f>Spielplan!K19</f>
        <v>Dampfnudel</v>
      </c>
      <c r="D8" t="str">
        <f>IF(ISNUMBER(Spielplan!M19),Spielplan!M19,"")</f>
        <v/>
      </c>
      <c r="E8" t="str">
        <f>IF(ISNUMBER(Spielplan!O19),Spielplan!O19,"")</f>
        <v/>
      </c>
      <c r="G8" s="142"/>
      <c r="H8" s="143"/>
      <c r="I8" s="143"/>
      <c r="J8" s="143"/>
      <c r="K8" s="143"/>
      <c r="L8" s="143"/>
      <c r="M8" s="143"/>
      <c r="O8" s="142"/>
      <c r="P8" s="143"/>
      <c r="Q8" s="143"/>
      <c r="R8" s="143"/>
      <c r="S8" s="143"/>
      <c r="T8" s="143"/>
      <c r="U8" s="143"/>
      <c r="W8">
        <f t="shared" si="10"/>
        <v>3</v>
      </c>
      <c r="X8">
        <f t="shared" si="1"/>
        <v>0.4</v>
      </c>
      <c r="Y8" t="str">
        <f t="shared" si="2"/>
        <v>Dampfnudel</v>
      </c>
      <c r="Z8">
        <f>IF(COUNT(H15:M15)=COUNT(J13:J18),COUNT(H15:M15),"")</f>
        <v>0</v>
      </c>
      <c r="AA8">
        <f t="shared" si="3"/>
        <v>0</v>
      </c>
      <c r="AB8">
        <f t="shared" si="4"/>
        <v>0</v>
      </c>
      <c r="AC8">
        <f>SUM(J13:J18)</f>
        <v>0</v>
      </c>
      <c r="AD8">
        <f t="shared" si="11"/>
        <v>0</v>
      </c>
      <c r="AE8">
        <v>0.4</v>
      </c>
      <c r="AG8" t="str">
        <f t="shared" si="5"/>
        <v>QuerradMJC Trier - Die Legionäre</v>
      </c>
      <c r="AH8" t="str">
        <f>Spielplan!F57</f>
        <v>Querrad</v>
      </c>
      <c r="AI8" t="str">
        <f>Spielplan!K57</f>
        <v>MJC Trier - Die Legionäre</v>
      </c>
      <c r="AJ8" t="str">
        <f>IF(ISNUMBER(Spielplan!M57),Spielplan!M57,"")</f>
        <v/>
      </c>
      <c r="AK8" t="str">
        <f>IF(ISNUMBER(Spielplan!O57),Spielplan!O57,"")</f>
        <v/>
      </c>
      <c r="AM8" s="142"/>
      <c r="AN8" s="143"/>
      <c r="AO8" s="143"/>
      <c r="AP8" s="143"/>
      <c r="AQ8" s="143"/>
      <c r="AR8" s="143"/>
      <c r="AS8" s="143"/>
      <c r="AU8" s="142"/>
      <c r="AV8" s="143"/>
      <c r="AW8" s="143"/>
      <c r="AX8" s="143"/>
      <c r="AY8" s="143"/>
      <c r="AZ8" s="143"/>
      <c r="BA8" s="143"/>
      <c r="BC8">
        <f t="shared" si="12"/>
        <v>3</v>
      </c>
      <c r="BD8">
        <f t="shared" si="6"/>
        <v>0.4</v>
      </c>
      <c r="BE8" t="str">
        <f t="shared" si="7"/>
        <v>MJC Trier - Die Legionäre</v>
      </c>
      <c r="BF8">
        <f>IF(COUNT(AN15:AS15)=COUNT(AP13:AP18),COUNT(AN15:AS15),"")</f>
        <v>0</v>
      </c>
      <c r="BG8">
        <f t="shared" si="8"/>
        <v>0</v>
      </c>
      <c r="BH8">
        <f t="shared" si="9"/>
        <v>0</v>
      </c>
      <c r="BI8">
        <f>SUM(AP13:AP18)</f>
        <v>0</v>
      </c>
      <c r="BJ8">
        <f t="shared" si="13"/>
        <v>0</v>
      </c>
      <c r="BK8">
        <v>0.4</v>
      </c>
    </row>
    <row r="9" spans="1:66" x14ac:dyDescent="0.25">
      <c r="A9" t="str">
        <f t="shared" si="0"/>
        <v>FunPowerTeamMUH-Bande Jena</v>
      </c>
      <c r="B9" t="str">
        <f>Spielplan!F20</f>
        <v>FunPowerTeam</v>
      </c>
      <c r="C9" t="str">
        <f>Spielplan!K20</f>
        <v>MUH-Bande Jena</v>
      </c>
      <c r="D9" t="str">
        <f>IF(ISNUMBER(Spielplan!M20),Spielplan!M20,"")</f>
        <v/>
      </c>
      <c r="E9" t="str">
        <f>IF(ISNUMBER(Spielplan!O20),Spielplan!O20,"")</f>
        <v/>
      </c>
      <c r="G9" s="142"/>
      <c r="H9" s="143"/>
      <c r="I9" s="143"/>
      <c r="J9" s="143"/>
      <c r="K9" s="143"/>
      <c r="L9" s="143"/>
      <c r="M9" s="143"/>
      <c r="O9" s="142"/>
      <c r="P9" s="143"/>
      <c r="Q9" s="143"/>
      <c r="R9" s="143"/>
      <c r="S9" s="143"/>
      <c r="T9" s="143"/>
      <c r="U9" s="143"/>
      <c r="W9">
        <f t="shared" si="10"/>
        <v>4</v>
      </c>
      <c r="X9">
        <f t="shared" si="1"/>
        <v>0.3</v>
      </c>
      <c r="Y9" t="str">
        <f t="shared" si="2"/>
        <v>FunPowerTeam</v>
      </c>
      <c r="Z9">
        <f>IF(COUNT(H16:M16)=COUNT(K13:K18),COUNT(H16:M16),"")</f>
        <v>0</v>
      </c>
      <c r="AA9">
        <f t="shared" si="3"/>
        <v>0</v>
      </c>
      <c r="AB9">
        <f t="shared" si="4"/>
        <v>0</v>
      </c>
      <c r="AC9">
        <f>SUM(K13:K18)</f>
        <v>0</v>
      </c>
      <c r="AD9">
        <f t="shared" si="11"/>
        <v>0</v>
      </c>
      <c r="AE9">
        <v>0.3</v>
      </c>
      <c r="AG9" t="str">
        <f t="shared" si="5"/>
        <v>SKV Mörfelden UniThunderGeisterfahrer</v>
      </c>
      <c r="AH9" t="str">
        <f>Spielplan!F58</f>
        <v>SKV Mörfelden UniThunder</v>
      </c>
      <c r="AI9" t="str">
        <f>Spielplan!K58</f>
        <v>Geisterfahrer</v>
      </c>
      <c r="AJ9" t="str">
        <f>IF(ISNUMBER(Spielplan!M58),Spielplan!M58,"")</f>
        <v/>
      </c>
      <c r="AK9" t="str">
        <f>IF(ISNUMBER(Spielplan!O58),Spielplan!O58,"")</f>
        <v/>
      </c>
      <c r="AM9" s="142"/>
      <c r="AN9" s="143"/>
      <c r="AO9" s="143"/>
      <c r="AP9" s="143"/>
      <c r="AQ9" s="143"/>
      <c r="AR9" s="143"/>
      <c r="AS9" s="143"/>
      <c r="AU9" s="142"/>
      <c r="AV9" s="143"/>
      <c r="AW9" s="143"/>
      <c r="AX9" s="143"/>
      <c r="AY9" s="143"/>
      <c r="AZ9" s="143"/>
      <c r="BA9" s="143"/>
      <c r="BC9">
        <f t="shared" si="12"/>
        <v>4</v>
      </c>
      <c r="BD9">
        <f t="shared" si="6"/>
        <v>0.3</v>
      </c>
      <c r="BE9" t="str">
        <f t="shared" si="7"/>
        <v>SKV Mörfelden UniThunder</v>
      </c>
      <c r="BF9">
        <f>IF(COUNT(AN16:AS16)=COUNT(AQ13:AQ18),COUNT(AN16:AS16),"")</f>
        <v>0</v>
      </c>
      <c r="BG9">
        <f t="shared" si="8"/>
        <v>0</v>
      </c>
      <c r="BH9">
        <f t="shared" si="9"/>
        <v>0</v>
      </c>
      <c r="BI9">
        <f>SUM(AQ13:AQ18)</f>
        <v>0</v>
      </c>
      <c r="BJ9">
        <f t="shared" si="13"/>
        <v>0</v>
      </c>
      <c r="BK9">
        <v>0.3</v>
      </c>
    </row>
    <row r="10" spans="1:66" x14ac:dyDescent="0.25">
      <c r="A10" t="str">
        <f t="shared" si="0"/>
        <v>BTC Heisse ReifenEinradhockey Elmshorn</v>
      </c>
      <c r="B10" t="str">
        <f>Spielplan!F21</f>
        <v>BTC Heisse Reifen</v>
      </c>
      <c r="C10" t="str">
        <f>Spielplan!K21</f>
        <v>Einradhockey Elmshorn</v>
      </c>
      <c r="D10" t="str">
        <f>IF(ISNUMBER(Spielplan!M21),Spielplan!M21,"")</f>
        <v/>
      </c>
      <c r="E10" t="str">
        <f>IF(ISNUMBER(Spielplan!O21),Spielplan!O21,"")</f>
        <v/>
      </c>
      <c r="G10" s="142"/>
      <c r="H10" s="143"/>
      <c r="I10" s="143"/>
      <c r="J10" s="143"/>
      <c r="K10" s="143"/>
      <c r="L10" s="143"/>
      <c r="M10" s="143"/>
      <c r="O10" s="142"/>
      <c r="P10" s="143"/>
      <c r="Q10" s="143"/>
      <c r="R10" s="143"/>
      <c r="S10" s="143"/>
      <c r="T10" s="143"/>
      <c r="U10" s="143"/>
      <c r="W10">
        <f t="shared" si="10"/>
        <v>5</v>
      </c>
      <c r="X10">
        <f t="shared" si="1"/>
        <v>0.2</v>
      </c>
      <c r="Y10" t="str">
        <f t="shared" si="2"/>
        <v>Einradhockey Elmshorn</v>
      </c>
      <c r="Z10">
        <f>IF(COUNT(H17:M17)=COUNT(L13:L18),COUNT(H17:M17),"")</f>
        <v>0</v>
      </c>
      <c r="AA10">
        <f t="shared" si="3"/>
        <v>0</v>
      </c>
      <c r="AB10">
        <f t="shared" si="4"/>
        <v>0</v>
      </c>
      <c r="AC10">
        <f>SUM(L13:L18)</f>
        <v>0</v>
      </c>
      <c r="AD10">
        <f t="shared" si="11"/>
        <v>0</v>
      </c>
      <c r="AE10">
        <v>0.2</v>
      </c>
      <c r="AG10" t="str">
        <f t="shared" si="5"/>
        <v>OnewheeleRSMJC Trier - Die Treverer</v>
      </c>
      <c r="AH10" t="str">
        <f>Spielplan!F59</f>
        <v>OnewheeleRS</v>
      </c>
      <c r="AI10" t="str">
        <f>Spielplan!K59</f>
        <v>MJC Trier - Die Treverer</v>
      </c>
      <c r="AJ10" t="str">
        <f>IF(ISNUMBER(Spielplan!M59),Spielplan!M59,"")</f>
        <v/>
      </c>
      <c r="AK10" t="str">
        <f>IF(ISNUMBER(Spielplan!O59),Spielplan!O59,"")</f>
        <v/>
      </c>
      <c r="AM10" s="142"/>
      <c r="AN10" s="143"/>
      <c r="AO10" s="143"/>
      <c r="AP10" s="143"/>
      <c r="AQ10" s="143"/>
      <c r="AR10" s="143"/>
      <c r="AS10" s="143"/>
      <c r="AU10" s="142"/>
      <c r="AV10" s="143"/>
      <c r="AW10" s="143"/>
      <c r="AX10" s="143"/>
      <c r="AY10" s="143"/>
      <c r="AZ10" s="143"/>
      <c r="BA10" s="143"/>
      <c r="BC10">
        <f t="shared" si="12"/>
        <v>5</v>
      </c>
      <c r="BD10">
        <f t="shared" si="6"/>
        <v>0.2</v>
      </c>
      <c r="BE10" t="str">
        <f t="shared" si="7"/>
        <v>MJC Trier - Die Treverer</v>
      </c>
      <c r="BF10">
        <f>IF(COUNT(AN17:AS17)=COUNT(AR13:AR18),COUNT(AN17:AS17),"")</f>
        <v>0</v>
      </c>
      <c r="BG10">
        <f t="shared" si="8"/>
        <v>0</v>
      </c>
      <c r="BH10">
        <f t="shared" si="9"/>
        <v>0</v>
      </c>
      <c r="BI10">
        <f>SUM(AR13:AR18)</f>
        <v>0</v>
      </c>
      <c r="BJ10">
        <f t="shared" si="13"/>
        <v>0</v>
      </c>
      <c r="BK10">
        <v>0.2</v>
      </c>
    </row>
    <row r="11" spans="1:66" x14ac:dyDescent="0.25">
      <c r="A11" t="str">
        <f t="shared" si="0"/>
        <v>Hockey HawksFunPowerTeam</v>
      </c>
      <c r="B11" t="str">
        <f>Spielplan!F22</f>
        <v>Hockey Hawks</v>
      </c>
      <c r="C11" t="str">
        <f>Spielplan!K22</f>
        <v>FunPowerTeam</v>
      </c>
      <c r="D11" t="str">
        <f>IF(ISNUMBER(Spielplan!M22),Spielplan!M22,"")</f>
        <v/>
      </c>
      <c r="E11" t="str">
        <f>IF(ISNUMBER(Spielplan!O22),Spielplan!O22,"")</f>
        <v/>
      </c>
      <c r="G11" s="142"/>
      <c r="H11" s="143"/>
      <c r="I11" s="143"/>
      <c r="J11" s="143"/>
      <c r="K11" s="143"/>
      <c r="L11" s="143"/>
      <c r="M11" s="143"/>
      <c r="O11" s="142"/>
      <c r="P11" s="143"/>
      <c r="Q11" s="143"/>
      <c r="R11" s="143"/>
      <c r="S11" s="143"/>
      <c r="T11" s="143"/>
      <c r="U11" s="143"/>
      <c r="W11">
        <f t="shared" si="10"/>
        <v>6</v>
      </c>
      <c r="X11">
        <f t="shared" si="1"/>
        <v>0.1</v>
      </c>
      <c r="Y11" t="str">
        <f t="shared" si="2"/>
        <v>MUH-Bande Jena</v>
      </c>
      <c r="Z11">
        <f>IF(COUNT(H18:M18)=COUNT(M13:M18),COUNT(H18:M18),"")</f>
        <v>0</v>
      </c>
      <c r="AA11">
        <f t="shared" si="3"/>
        <v>0</v>
      </c>
      <c r="AB11">
        <f t="shared" si="4"/>
        <v>0</v>
      </c>
      <c r="AC11">
        <f>SUM(M13:M18)</f>
        <v>0</v>
      </c>
      <c r="AD11">
        <f t="shared" si="11"/>
        <v>0</v>
      </c>
      <c r="AE11">
        <v>0.1</v>
      </c>
      <c r="AG11" t="str">
        <f t="shared" si="5"/>
        <v>QuerradSKV Mörfelden UniThunder</v>
      </c>
      <c r="AH11" t="str">
        <f>Spielplan!F60</f>
        <v>Querrad</v>
      </c>
      <c r="AI11" t="str">
        <f>Spielplan!K60</f>
        <v>SKV Mörfelden UniThunder</v>
      </c>
      <c r="AJ11" t="str">
        <f>IF(ISNUMBER(Spielplan!M60),Spielplan!M60,"")</f>
        <v/>
      </c>
      <c r="AK11" t="str">
        <f>IF(ISNUMBER(Spielplan!O60),Spielplan!O60,"")</f>
        <v/>
      </c>
      <c r="AM11" s="142"/>
      <c r="AN11" s="143"/>
      <c r="AO11" s="143"/>
      <c r="AP11" s="143"/>
      <c r="AQ11" s="143"/>
      <c r="AR11" s="143"/>
      <c r="AS11" s="143"/>
      <c r="AU11" s="142"/>
      <c r="AV11" s="143"/>
      <c r="AW11" s="143"/>
      <c r="AX11" s="143"/>
      <c r="AY11" s="143"/>
      <c r="AZ11" s="143"/>
      <c r="BA11" s="143"/>
      <c r="BC11">
        <f t="shared" si="12"/>
        <v>6</v>
      </c>
      <c r="BD11">
        <f>10000*BG11+100*BH11+BK11</f>
        <v>0.1</v>
      </c>
      <c r="BE11" t="str">
        <f t="shared" si="7"/>
        <v>Geisterfahrer</v>
      </c>
      <c r="BF11">
        <f>IF(COUNT(AN18:AS18)=COUNT(AS13:AS18),COUNT(AN18:AS18),"")</f>
        <v>0</v>
      </c>
      <c r="BG11">
        <f t="shared" si="8"/>
        <v>0</v>
      </c>
      <c r="BH11">
        <f t="shared" si="9"/>
        <v>0</v>
      </c>
      <c r="BI11">
        <f>SUM(AS13:AS18)</f>
        <v>0</v>
      </c>
      <c r="BJ11">
        <f t="shared" si="13"/>
        <v>0</v>
      </c>
      <c r="BK11">
        <v>0.1</v>
      </c>
    </row>
    <row r="12" spans="1:66" x14ac:dyDescent="0.25">
      <c r="A12" t="str">
        <f t="shared" si="0"/>
        <v>DampfnudelEinradhockey Elmshorn</v>
      </c>
      <c r="B12" t="str">
        <f>Spielplan!F23</f>
        <v>Dampfnudel</v>
      </c>
      <c r="C12" t="str">
        <f>Spielplan!K23</f>
        <v>Einradhockey Elmshorn</v>
      </c>
      <c r="D12" t="str">
        <f>IF(ISNUMBER(Spielplan!M23),Spielplan!M23,"")</f>
        <v/>
      </c>
      <c r="E12" t="str">
        <f>IF(ISNUMBER(Spielplan!O23),Spielplan!O23,"")</f>
        <v/>
      </c>
      <c r="G12" s="142"/>
      <c r="H12" s="143"/>
      <c r="I12" s="143"/>
      <c r="J12" s="143"/>
      <c r="K12" s="143"/>
      <c r="L12" s="143"/>
      <c r="M12" s="143"/>
      <c r="O12" s="142"/>
      <c r="P12" s="143"/>
      <c r="Q12" s="143"/>
      <c r="R12" s="143"/>
      <c r="S12" s="143"/>
      <c r="T12" s="143"/>
      <c r="U12" s="143"/>
      <c r="Y12" t="b">
        <f>AND(Z12,AA12)</f>
        <v>0</v>
      </c>
      <c r="Z12" t="b">
        <f>SUM(Z6:Z11)=COUNT(Z6:Z11)*(COUNTA(Y6:Y11)-1)</f>
        <v>0</v>
      </c>
      <c r="AA12" t="b" cm="1">
        <f t="array" ref="AA12">OR(COUNTIF(AA6:AA11,AA6:AA11)&gt;1)</f>
        <v>1</v>
      </c>
      <c r="AG12" t="str">
        <f t="shared" si="5"/>
        <v>MJC Trier - Die LegionäreMJC Trier - Die Treverer</v>
      </c>
      <c r="AH12" t="str">
        <f>Spielplan!F61</f>
        <v>MJC Trier - Die Legionäre</v>
      </c>
      <c r="AI12" t="str">
        <f>Spielplan!K61</f>
        <v>MJC Trier - Die Treverer</v>
      </c>
      <c r="AJ12" t="str">
        <f>IF(ISNUMBER(Spielplan!M61),Spielplan!M61,"")</f>
        <v/>
      </c>
      <c r="AK12" t="str">
        <f>IF(ISNUMBER(Spielplan!O61),Spielplan!O61,"")</f>
        <v/>
      </c>
      <c r="AM12" s="142"/>
      <c r="AN12" s="143"/>
      <c r="AO12" s="143"/>
      <c r="AP12" s="143"/>
      <c r="AQ12" s="143"/>
      <c r="AR12" s="143"/>
      <c r="AS12" s="143"/>
      <c r="AU12" s="142"/>
      <c r="AV12" s="143"/>
      <c r="AW12" s="143"/>
      <c r="AX12" s="143"/>
      <c r="AY12" s="143"/>
      <c r="AZ12" s="143"/>
      <c r="BA12" s="143"/>
      <c r="BE12" t="b">
        <f>AND(BF12,BG12)</f>
        <v>0</v>
      </c>
      <c r="BF12" t="b">
        <f>SUM(BF6:BF11)=COUNT(BF6:BF11)*(COUNTA(BE6:BE11)-1)</f>
        <v>0</v>
      </c>
      <c r="BG12" t="b" cm="1">
        <f t="array" ref="BG12">OR(COUNTIF(BG6:BG11,BG6:BG11)&gt;1)</f>
        <v>1</v>
      </c>
    </row>
    <row r="13" spans="1:66" x14ac:dyDescent="0.25">
      <c r="A13" t="str">
        <f t="shared" si="0"/>
        <v>BTC Heisse ReifenMUH-Bande Jena</v>
      </c>
      <c r="B13" t="str">
        <f>Spielplan!F24</f>
        <v>BTC Heisse Reifen</v>
      </c>
      <c r="C13" t="str">
        <f>Spielplan!K24</f>
        <v>MUH-Bande Jena</v>
      </c>
      <c r="D13" t="str">
        <f>IF(ISNUMBER(Spielplan!M24),Spielplan!M24,"")</f>
        <v/>
      </c>
      <c r="E13" t="str">
        <f>IF(ISNUMBER(Spielplan!O24),Spielplan!O24,"")</f>
        <v/>
      </c>
      <c r="G13" t="str">
        <f>Spielplan!C7</f>
        <v>BTC Heisse Reifen</v>
      </c>
      <c r="H13" s="3"/>
      <c r="I13" t="str">
        <f>VLOOKUP($G13&amp;I$5,$A$5:$E$19,4,FALSE)</f>
        <v/>
      </c>
      <c r="J13" t="str">
        <f>VLOOKUP($G13&amp;J$5,$A$5:$E$19,4,FALSE)</f>
        <v/>
      </c>
      <c r="K13" t="str">
        <f>VLOOKUP($G13&amp;K$5,$A$5:$E$19,4,FALSE)</f>
        <v/>
      </c>
      <c r="L13" t="str">
        <f>VLOOKUP($G13&amp;L$5,$A$5:$E$19,4,FALSE)</f>
        <v/>
      </c>
      <c r="M13" t="str">
        <f>VLOOKUP($G13&amp;M$5,$A$5:$E$19,4,FALSE)</f>
        <v/>
      </c>
      <c r="O13" t="str">
        <f t="shared" ref="O13:O18" si="14">G13</f>
        <v>BTC Heisse Reifen</v>
      </c>
      <c r="P13" s="3"/>
      <c r="Q13" t="str">
        <f>IF(AND(ISNUMBER(I13),ISNUMBER(H14)),IF(I13&gt;H14,3,IF(I13&lt;H14,0,1)),"")</f>
        <v/>
      </c>
      <c r="R13" t="str">
        <f>IF(AND(ISNUMBER(J13),ISNUMBER(H15)),IF(J13&gt;H15,3,IF(J13&lt;H15,0,1)),"")</f>
        <v/>
      </c>
      <c r="S13" t="str">
        <f>IF(AND(ISNUMBER(K13),ISNUMBER(H16)),IF(K13&gt;H16,3,IF(K13&lt;H16,0,1)),"")</f>
        <v/>
      </c>
      <c r="T13" t="str">
        <f>IF(AND(ISNUMBER(L13),ISNUMBER(H17)),IF(L13&gt;H17,3,IF(L13&lt;H17,0,1)),"")</f>
        <v/>
      </c>
      <c r="U13" t="str">
        <f>IF(AND(ISNUMBER(M13),ISNUMBER(H18)),IF(M13&gt;H18,3,IF(M13&lt;H18,0,1)),"")</f>
        <v/>
      </c>
      <c r="AG13" t="str">
        <f t="shared" si="5"/>
        <v>OnewheeleRSGeisterfahrer</v>
      </c>
      <c r="AH13" t="str">
        <f>Spielplan!F62</f>
        <v>OnewheeleRS</v>
      </c>
      <c r="AI13" t="str">
        <f>Spielplan!K62</f>
        <v>Geisterfahrer</v>
      </c>
      <c r="AJ13" t="str">
        <f>IF(ISNUMBER(Spielplan!M62),Spielplan!M62,"")</f>
        <v/>
      </c>
      <c r="AK13" t="str">
        <f>IF(ISNUMBER(Spielplan!O62),Spielplan!O62,"")</f>
        <v/>
      </c>
      <c r="AM13" t="str">
        <f>Spielplan!C45</f>
        <v>OnewheeleRS</v>
      </c>
      <c r="AN13" s="3"/>
      <c r="AO13" t="str">
        <f>VLOOKUP($AM13&amp;AO$5,$AG$5:$AK$19,4,FALSE)</f>
        <v/>
      </c>
      <c r="AP13" t="str">
        <f t="shared" ref="AP13:AS16" si="15">VLOOKUP($AM13&amp;AP$5,$AG$5:$AK$19,4,FALSE)</f>
        <v/>
      </c>
      <c r="AQ13" t="str">
        <f t="shared" si="15"/>
        <v/>
      </c>
      <c r="AR13" t="str">
        <f t="shared" si="15"/>
        <v/>
      </c>
      <c r="AS13" t="str">
        <f t="shared" si="15"/>
        <v/>
      </c>
      <c r="AU13" t="str">
        <f t="shared" ref="AU13:AU18" si="16">AM13</f>
        <v>OnewheeleRS</v>
      </c>
      <c r="AV13" s="3"/>
      <c r="AW13" t="str">
        <f>IF(AND(ISNUMBER(AO13),ISNUMBER(AN14)),IF(AO13&gt;AN14,3,IF(AO13&lt;AN14,0,1)),"")</f>
        <v/>
      </c>
      <c r="AX13" t="str">
        <f>IF(AND(ISNUMBER(AP13),ISNUMBER(AN15)),IF(AP13&gt;AN15,3,IF(AP13&lt;AN15,0,1)),"")</f>
        <v/>
      </c>
      <c r="AY13" t="str">
        <f>IF(AND(ISNUMBER(AQ13),ISNUMBER(AN16)),IF(AQ13&gt;AN16,3,IF(AQ13&lt;AN16,0,1)),"")</f>
        <v/>
      </c>
      <c r="AZ13" t="str">
        <f>IF(AND(ISNUMBER(AR13),ISNUMBER(AN17)),IF(AR13&gt;AN17,3,IF(AR13&lt;AN17,0,1)),"")</f>
        <v/>
      </c>
      <c r="BA13" t="str">
        <f>IF(AND(ISNUMBER(AS13),ISNUMBER(AN18)),IF(AS13&gt;AN18,3,IF(AS13&lt;AN18,0,1)),"")</f>
        <v/>
      </c>
    </row>
    <row r="14" spans="1:66" x14ac:dyDescent="0.25">
      <c r="A14" t="str">
        <f t="shared" si="0"/>
        <v>FunPowerTeamEinradhockey Elmshorn</v>
      </c>
      <c r="B14" t="str">
        <f>Spielplan!F25</f>
        <v>FunPowerTeam</v>
      </c>
      <c r="C14" t="str">
        <f>Spielplan!K25</f>
        <v>Einradhockey Elmshorn</v>
      </c>
      <c r="D14" t="str">
        <f>IF(ISNUMBER(Spielplan!M25),Spielplan!M25,"")</f>
        <v/>
      </c>
      <c r="E14" t="str">
        <f>IF(ISNUMBER(Spielplan!O25),Spielplan!O25,"")</f>
        <v/>
      </c>
      <c r="G14" t="str">
        <f>Spielplan!C8</f>
        <v>Hockey Hawks</v>
      </c>
      <c r="H14" t="str">
        <f>VLOOKUP(H$5&amp;$G14,$A$5:$E$19,5,FALSE)</f>
        <v/>
      </c>
      <c r="I14" s="3"/>
      <c r="J14" t="str">
        <f>VLOOKUP($G14&amp;J$5,$A$5:$E$19,4,FALSE)</f>
        <v/>
      </c>
      <c r="K14" t="str">
        <f>VLOOKUP($G14&amp;K$5,$A$5:$E$19,4,FALSE)</f>
        <v/>
      </c>
      <c r="L14" t="str">
        <f>VLOOKUP($G14&amp;L$5,$A$5:$E$19,4,FALSE)</f>
        <v/>
      </c>
      <c r="M14" t="str">
        <f>VLOOKUP($G14&amp;M$5,$A$5:$E$19,4,FALSE)</f>
        <v/>
      </c>
      <c r="O14" t="str">
        <f t="shared" si="14"/>
        <v>Hockey Hawks</v>
      </c>
      <c r="P14" t="str">
        <f>IF(AND(ISNUMBER(H14),ISNUMBER(I13)),IF(H14&gt;I13,3,IF(H14&lt;I13,0,1)),"")</f>
        <v/>
      </c>
      <c r="Q14" s="3"/>
      <c r="R14" t="str">
        <f>IF(AND(ISNUMBER(J14),ISNUMBER(I15)),IF(J14&gt;I15,3,IF(J14&lt;I15,0,1)),"")</f>
        <v/>
      </c>
      <c r="S14" t="str">
        <f>IF(AND(ISNUMBER(K14),ISNUMBER(I16)),IF(K14&gt;I16,3,IF(K14&lt;I16,0,1)),"")</f>
        <v/>
      </c>
      <c r="T14" t="str">
        <f>IF(AND(ISNUMBER(L14),ISNUMBER(I17)),IF(L14&gt;I17,3,IF(L14&lt;I17,0,1)),"")</f>
        <v/>
      </c>
      <c r="U14" t="str">
        <f>IF(AND(ISNUMBER(M14),ISNUMBER(I18)),IF(M14&gt;I18,3,IF(M14&lt;I18,0,1)),"")</f>
        <v/>
      </c>
      <c r="AG14" t="str">
        <f t="shared" si="5"/>
        <v>SKV Mörfelden UniThunderMJC Trier - Die Treverer</v>
      </c>
      <c r="AH14" t="str">
        <f>Spielplan!F63</f>
        <v>SKV Mörfelden UniThunder</v>
      </c>
      <c r="AI14" t="str">
        <f>Spielplan!K63</f>
        <v>MJC Trier - Die Treverer</v>
      </c>
      <c r="AJ14" t="str">
        <f>IF(ISNUMBER(Spielplan!M63),Spielplan!M63,"")</f>
        <v/>
      </c>
      <c r="AK14" t="str">
        <f>IF(ISNUMBER(Spielplan!O63),Spielplan!O63,"")</f>
        <v/>
      </c>
      <c r="AM14" t="str">
        <f>Spielplan!C46</f>
        <v>Querrad</v>
      </c>
      <c r="AN14" t="str">
        <f>VLOOKUP(AN$5&amp;$AM14,$AG$5:$AK$19,5,FALSE)</f>
        <v/>
      </c>
      <c r="AO14" s="3"/>
      <c r="AP14" t="str">
        <f t="shared" si="15"/>
        <v/>
      </c>
      <c r="AQ14" t="str">
        <f t="shared" si="15"/>
        <v/>
      </c>
      <c r="AR14" t="str">
        <f t="shared" si="15"/>
        <v/>
      </c>
      <c r="AS14" t="str">
        <f t="shared" si="15"/>
        <v/>
      </c>
      <c r="AU14" t="str">
        <f t="shared" si="16"/>
        <v>Querrad</v>
      </c>
      <c r="AV14" t="str">
        <f>IF(AND(ISNUMBER(AN14),ISNUMBER(AO13)),IF(AN14&gt;AO13,3,IF(AN14&lt;AO13,0,1)),"")</f>
        <v/>
      </c>
      <c r="AW14" s="3"/>
      <c r="AX14" t="str">
        <f>IF(AND(ISNUMBER(AP14),ISNUMBER(AO15)),IF(AP14&gt;AO15,3,IF(AP14&lt;AO15,0,1)),"")</f>
        <v/>
      </c>
      <c r="AY14" t="str">
        <f>IF(AND(ISNUMBER(AQ14),ISNUMBER(AO16)),IF(AQ14&gt;AO16,3,IF(AQ14&lt;AO16,0,1)),"")</f>
        <v/>
      </c>
      <c r="AZ14" t="str">
        <f>IF(AND(ISNUMBER(AR14),ISNUMBER(AO17)),IF(AR14&gt;AO17,3,IF(AR14&lt;AO17,0,1)),"")</f>
        <v/>
      </c>
      <c r="BA14" t="str">
        <f>IF(AND(ISNUMBER(AS14),ISNUMBER(AO18)),IF(AS14&gt;AO18,3,IF(AS14&lt;AO18,0,1)),"")</f>
        <v/>
      </c>
    </row>
    <row r="15" spans="1:66" x14ac:dyDescent="0.25">
      <c r="A15" t="str">
        <f t="shared" si="0"/>
        <v>Hockey HawksMUH-Bande Jena</v>
      </c>
      <c r="B15" t="str">
        <f>Spielplan!F26</f>
        <v>Hockey Hawks</v>
      </c>
      <c r="C15" t="str">
        <f>Spielplan!K26</f>
        <v>MUH-Bande Jena</v>
      </c>
      <c r="D15" t="str">
        <f>IF(ISNUMBER(Spielplan!M26),Spielplan!M26,"")</f>
        <v/>
      </c>
      <c r="E15" t="str">
        <f>IF(ISNUMBER(Spielplan!O26),Spielplan!O26,"")</f>
        <v/>
      </c>
      <c r="G15" t="str">
        <f>Spielplan!C9</f>
        <v>Dampfnudel</v>
      </c>
      <c r="H15" t="str">
        <f>VLOOKUP(H$5&amp;$G15,$A$5:$E$19,5,FALSE)</f>
        <v/>
      </c>
      <c r="I15" t="str">
        <f>VLOOKUP(I$5&amp;$G15,$A$5:$E$19,5,FALSE)</f>
        <v/>
      </c>
      <c r="J15" s="3"/>
      <c r="K15" t="str">
        <f>VLOOKUP($G15&amp;K$5,$A$5:$E$19,4,FALSE)</f>
        <v/>
      </c>
      <c r="L15" t="str">
        <f>VLOOKUP($G15&amp;L$5,$A$5:$E$19,4,FALSE)</f>
        <v/>
      </c>
      <c r="M15" t="str">
        <f>VLOOKUP($G15&amp;M$5,$A$5:$E$19,4,FALSE)</f>
        <v/>
      </c>
      <c r="O15" t="str">
        <f t="shared" si="14"/>
        <v>Dampfnudel</v>
      </c>
      <c r="P15" t="str">
        <f>IF(AND(ISNUMBER(H15),ISNUMBER(J13)),IF(H15&gt;J13,3,IF(H15&lt;J13,0,1)),"")</f>
        <v/>
      </c>
      <c r="Q15" t="str">
        <f>IF(AND(ISNUMBER(I15),ISNUMBER(J14)),IF(I15&gt;J14,3,IF(I15&lt;J14,0,1)),"")</f>
        <v/>
      </c>
      <c r="R15" s="3"/>
      <c r="S15" t="str">
        <f>IF(AND(ISNUMBER(K15),ISNUMBER(J16)),IF(K15&gt;J16,3,IF(K15&lt;J16,0,1)),"")</f>
        <v/>
      </c>
      <c r="T15" t="str">
        <f>IF(AND(ISNUMBER(L15),ISNUMBER(J17)),IF(L15&gt;J17,3,IF(L15&lt;J17,0,1)),"")</f>
        <v/>
      </c>
      <c r="U15" t="str">
        <f>IF(AND(ISNUMBER(M15),ISNUMBER(J18)),IF(M15&gt;J18,3,IF(M15&lt;J18,0,1)),"")</f>
        <v/>
      </c>
      <c r="AG15" t="str">
        <f t="shared" si="5"/>
        <v>QuerradGeisterfahrer</v>
      </c>
      <c r="AH15" t="str">
        <f>Spielplan!F64</f>
        <v>Querrad</v>
      </c>
      <c r="AI15" t="str">
        <f>Spielplan!K64</f>
        <v>Geisterfahrer</v>
      </c>
      <c r="AJ15" t="str">
        <f>IF(ISNUMBER(Spielplan!M64),Spielplan!M64,"")</f>
        <v/>
      </c>
      <c r="AK15" t="str">
        <f>IF(ISNUMBER(Spielplan!O64),Spielplan!O64,"")</f>
        <v/>
      </c>
      <c r="AM15" t="str">
        <f>Spielplan!C47</f>
        <v>MJC Trier - Die Legionäre</v>
      </c>
      <c r="AN15" t="str">
        <f t="shared" ref="AN15:AQ18" si="17">VLOOKUP(AN$5&amp;$AM15,$AG$5:$AK$19,5,FALSE)</f>
        <v/>
      </c>
      <c r="AO15" t="str">
        <f>VLOOKUP(AO$5&amp;$AM15,$AG$5:$AK$19,5,FALSE)</f>
        <v/>
      </c>
      <c r="AP15" s="3"/>
      <c r="AQ15" t="str">
        <f t="shared" si="15"/>
        <v/>
      </c>
      <c r="AR15" t="str">
        <f t="shared" si="15"/>
        <v/>
      </c>
      <c r="AS15" t="str">
        <f t="shared" si="15"/>
        <v/>
      </c>
      <c r="AU15" t="str">
        <f t="shared" si="16"/>
        <v>MJC Trier - Die Legionäre</v>
      </c>
      <c r="AV15" t="str">
        <f>IF(AND(ISNUMBER(AN15),ISNUMBER(AP13)),IF(AN15&gt;AP13,3,IF(AN15&lt;AP13,0,1)),"")</f>
        <v/>
      </c>
      <c r="AW15" t="str">
        <f>IF(AND(ISNUMBER(AO15),ISNUMBER(AP14)),IF(AO15&gt;AP14,3,IF(AO15&lt;AP14,0,1)),"")</f>
        <v/>
      </c>
      <c r="AX15" s="3"/>
      <c r="AY15" t="str">
        <f>IF(AND(ISNUMBER(AQ15),ISNUMBER(AP16)),IF(AQ15&gt;AP16,3,IF(AQ15&lt;AP16,0,1)),"")</f>
        <v/>
      </c>
      <c r="AZ15" t="str">
        <f>IF(AND(ISNUMBER(AR15),ISNUMBER(AP17)),IF(AR15&gt;AP17,3,IF(AR15&lt;AP17,0,1)),"")</f>
        <v/>
      </c>
      <c r="BA15" t="str">
        <f>IF(AND(ISNUMBER(AS15),ISNUMBER(AP18)),IF(AS15&gt;AP18,3,IF(AS15&lt;AP18,0,1)),"")</f>
        <v/>
      </c>
    </row>
    <row r="16" spans="1:66" ht="15" customHeight="1" x14ac:dyDescent="0.25">
      <c r="A16" t="str">
        <f t="shared" si="0"/>
        <v>BTC Heisse ReifenDampfnudel</v>
      </c>
      <c r="B16" t="str">
        <f>Spielplan!F27</f>
        <v>BTC Heisse Reifen</v>
      </c>
      <c r="C16" t="str">
        <f>Spielplan!K27</f>
        <v>Dampfnudel</v>
      </c>
      <c r="D16" t="str">
        <f>IF(ISNUMBER(Spielplan!M27),Spielplan!M27,"")</f>
        <v/>
      </c>
      <c r="E16" t="str">
        <f>IF(ISNUMBER(Spielplan!O27),Spielplan!O27,"")</f>
        <v/>
      </c>
      <c r="G16" t="str">
        <f>Spielplan!C10</f>
        <v>FunPowerTeam</v>
      </c>
      <c r="H16" t="str">
        <f>VLOOKUP(H$5&amp;$G16,$A$5:$E$19,5,FALSE)</f>
        <v/>
      </c>
      <c r="I16" t="str">
        <f>VLOOKUP(I$5&amp;$G16,$A$5:$E$19,5,FALSE)</f>
        <v/>
      </c>
      <c r="J16" t="str">
        <f>VLOOKUP(J$5&amp;$G16,$A$5:$E$19,5,FALSE)</f>
        <v/>
      </c>
      <c r="K16" s="3"/>
      <c r="L16" t="str">
        <f>VLOOKUP($G16&amp;L$5,$A$5:$E$19,4,FALSE)</f>
        <v/>
      </c>
      <c r="M16" t="str">
        <f>VLOOKUP($G16&amp;M$5,$A$5:$E$19,4,FALSE)</f>
        <v/>
      </c>
      <c r="O16" t="str">
        <f t="shared" si="14"/>
        <v>FunPowerTeam</v>
      </c>
      <c r="P16" t="str">
        <f>IF(AND(ISNUMBER(H16),ISNUMBER(K13)),IF(H16&gt;K13,3,IF(H16&lt;K13,0,1)),"")</f>
        <v/>
      </c>
      <c r="Q16" t="str">
        <f>IF(AND(ISNUMBER(I16),ISNUMBER(K14)),IF(I16&gt;K14,3,IF(I16&lt;K14,0,1)),"")</f>
        <v/>
      </c>
      <c r="R16" t="str">
        <f>IF(AND(ISNUMBER(J16),ISNUMBER(K15)),IF(J16&gt;K15,3,IF(J16&lt;K15,0,1)),"")</f>
        <v/>
      </c>
      <c r="S16" s="3"/>
      <c r="T16" t="str">
        <f>IF(AND(ISNUMBER(L16),ISNUMBER(K17)),IF(L16&gt;K17,3,IF(L16&lt;K17,0,1)),"")</f>
        <v/>
      </c>
      <c r="U16" t="str">
        <f>IF(AND(ISNUMBER(M16),ISNUMBER(K18)),IF(M16&gt;K18,3,IF(M16&lt;K18,0,1)),"")</f>
        <v/>
      </c>
      <c r="AG16" t="str">
        <f t="shared" si="5"/>
        <v>OnewheeleRSMJC Trier - Die Legionäre</v>
      </c>
      <c r="AH16" t="str">
        <f>Spielplan!F65</f>
        <v>OnewheeleRS</v>
      </c>
      <c r="AI16" t="str">
        <f>Spielplan!K65</f>
        <v>MJC Trier - Die Legionäre</v>
      </c>
      <c r="AJ16" t="str">
        <f>IF(ISNUMBER(Spielplan!M65),Spielplan!M65,"")</f>
        <v/>
      </c>
      <c r="AK16" t="str">
        <f>IF(ISNUMBER(Spielplan!O65),Spielplan!O65,"")</f>
        <v/>
      </c>
      <c r="AM16" t="str">
        <f>Spielplan!C48</f>
        <v>SKV Mörfelden UniThunder</v>
      </c>
      <c r="AN16" t="str">
        <f t="shared" si="17"/>
        <v/>
      </c>
      <c r="AO16" t="str">
        <f t="shared" si="17"/>
        <v/>
      </c>
      <c r="AP16" t="str">
        <f t="shared" si="17"/>
        <v/>
      </c>
      <c r="AQ16" s="3"/>
      <c r="AR16" t="str">
        <f t="shared" si="15"/>
        <v/>
      </c>
      <c r="AS16" t="str">
        <f t="shared" si="15"/>
        <v/>
      </c>
      <c r="AU16" t="str">
        <f t="shared" si="16"/>
        <v>SKV Mörfelden UniThunder</v>
      </c>
      <c r="AV16" t="str">
        <f>IF(AND(ISNUMBER(AN16),ISNUMBER(AQ13)),IF(AN16&gt;AQ13,3,IF(AN16&lt;AQ13,0,1)),"")</f>
        <v/>
      </c>
      <c r="AW16" t="str">
        <f>IF(AND(ISNUMBER(AO16),ISNUMBER(AQ14)),IF(AO16&gt;AQ14,3,IF(AO16&lt;AQ14,0,1)),"")</f>
        <v/>
      </c>
      <c r="AX16" t="str">
        <f>IF(AND(ISNUMBER(AP16),ISNUMBER(AQ15)),IF(AP16&gt;AQ15,3,IF(AP16&lt;AQ15,0,1)),"")</f>
        <v/>
      </c>
      <c r="AY16" s="3"/>
      <c r="AZ16" t="str">
        <f>IF(AND(ISNUMBER(AR16),ISNUMBER(AQ17)),IF(AR16&gt;AQ17,3,IF(AR16&lt;AQ17,0,1)),"")</f>
        <v/>
      </c>
      <c r="BA16" t="str">
        <f>IF(AND(ISNUMBER(AS16),ISNUMBER(AQ18)),IF(AS16&gt;AQ18,3,IF(AS16&lt;AQ18,0,1)),"")</f>
        <v/>
      </c>
    </row>
    <row r="17" spans="1:53" x14ac:dyDescent="0.25">
      <c r="A17" t="str">
        <f t="shared" si="0"/>
        <v>Einradhockey ElmshornMUH-Bande Jena</v>
      </c>
      <c r="B17" t="str">
        <f>Spielplan!F28</f>
        <v>Einradhockey Elmshorn</v>
      </c>
      <c r="C17" t="str">
        <f>Spielplan!K28</f>
        <v>MUH-Bande Jena</v>
      </c>
      <c r="D17" t="str">
        <f>IF(ISNUMBER(Spielplan!M28),Spielplan!M28,"")</f>
        <v/>
      </c>
      <c r="E17" t="str">
        <f>IF(ISNUMBER(Spielplan!O28),Spielplan!O28,"")</f>
        <v/>
      </c>
      <c r="G17" t="str">
        <f>Spielplan!C11</f>
        <v>Einradhockey Elmshorn</v>
      </c>
      <c r="H17" t="str">
        <f>VLOOKUP(H$5&amp;$G17,$A$5:$E$19,5,FALSE)</f>
        <v/>
      </c>
      <c r="I17" t="str">
        <f>VLOOKUP(I$5&amp;$G17,$A$5:$E$19,5,FALSE)</f>
        <v/>
      </c>
      <c r="J17" t="str">
        <f>VLOOKUP(J$5&amp;$G17,$A$5:$E$19,5,FALSE)</f>
        <v/>
      </c>
      <c r="K17" t="str">
        <f>VLOOKUP(K$5&amp;$G17,$A$5:$E$19,5,FALSE)</f>
        <v/>
      </c>
      <c r="L17" s="3"/>
      <c r="M17" t="str">
        <f>VLOOKUP($G17&amp;M$5,$A$5:$E$19,4,FALSE)</f>
        <v/>
      </c>
      <c r="O17" t="str">
        <f t="shared" si="14"/>
        <v>Einradhockey Elmshorn</v>
      </c>
      <c r="P17" t="str">
        <f>IF(AND(ISNUMBER(H17),ISNUMBER(L13)),IF(H17&gt;L13,3,IF(H17&lt;L13,0,1)),"")</f>
        <v/>
      </c>
      <c r="Q17" t="str">
        <f>IF(AND(ISNUMBER(I17),ISNUMBER(L14)),IF(I17&gt;L14,3,IF(I17&lt;L14,0,1)),"")</f>
        <v/>
      </c>
      <c r="R17" t="str">
        <f>IF(AND(ISNUMBER(J17),ISNUMBER(L15)),IF(J17&gt;L15,3,IF(J17&lt;L15,0,1)),"")</f>
        <v/>
      </c>
      <c r="S17" t="str">
        <f>IF(AND(ISNUMBER(K17),ISNUMBER(L16)),IF(K17&gt;L16,3,IF(K17&lt;L16,0,1)),"")</f>
        <v/>
      </c>
      <c r="T17" s="3"/>
      <c r="U17" t="str">
        <f>IF(AND(ISNUMBER(M17),ISNUMBER(L18)),IF(M17&gt;L18,3,IF(M17&lt;L18,0,1)),"")</f>
        <v/>
      </c>
      <c r="AG17" t="str">
        <f t="shared" si="5"/>
        <v>MJC Trier - Die TrevererGeisterfahrer</v>
      </c>
      <c r="AH17" t="str">
        <f>Spielplan!F66</f>
        <v>MJC Trier - Die Treverer</v>
      </c>
      <c r="AI17" t="str">
        <f>Spielplan!K66</f>
        <v>Geisterfahrer</v>
      </c>
      <c r="AJ17" t="str">
        <f>IF(ISNUMBER(Spielplan!M66),Spielplan!M66,"")</f>
        <v/>
      </c>
      <c r="AK17" t="str">
        <f>IF(ISNUMBER(Spielplan!O66),Spielplan!O66,"")</f>
        <v/>
      </c>
      <c r="AM17" t="str">
        <f>Spielplan!C49</f>
        <v>MJC Trier - Die Treverer</v>
      </c>
      <c r="AN17" t="str">
        <f t="shared" si="17"/>
        <v/>
      </c>
      <c r="AO17" t="str">
        <f t="shared" si="17"/>
        <v/>
      </c>
      <c r="AP17" t="str">
        <f t="shared" si="17"/>
        <v/>
      </c>
      <c r="AQ17" t="str">
        <f t="shared" si="17"/>
        <v/>
      </c>
      <c r="AR17" s="3"/>
      <c r="AS17" t="str">
        <f>VLOOKUP($AM17&amp;AS$5,$AG$5:$AK$19,4,FALSE)</f>
        <v/>
      </c>
      <c r="AU17" t="str">
        <f t="shared" si="16"/>
        <v>MJC Trier - Die Treverer</v>
      </c>
      <c r="AV17" t="str">
        <f>IF(AND(ISNUMBER(AN17),ISNUMBER(AR13)),IF(AN17&gt;AR13,3,IF(AN17&lt;AR13,0,1)),"")</f>
        <v/>
      </c>
      <c r="AW17" t="str">
        <f>IF(AND(ISNUMBER(AO17),ISNUMBER(AR14)),IF(AO17&gt;AR14,3,IF(AO17&lt;AR14,0,1)),"")</f>
        <v/>
      </c>
      <c r="AX17" t="str">
        <f>IF(AND(ISNUMBER(AP17),ISNUMBER(AR15)),IF(AP17&gt;AR15,3,IF(AP17&lt;AR15,0,1)),"")</f>
        <v/>
      </c>
      <c r="AY17" t="str">
        <f>IF(AND(ISNUMBER(AQ17),ISNUMBER(AR16)),IF(AQ17&gt;AR16,3,IF(AQ17&lt;AR16,0,1)),"")</f>
        <v/>
      </c>
      <c r="AZ17" s="3"/>
      <c r="BA17" t="str">
        <f>IF(AND(ISNUMBER(AS17),ISNUMBER(AR18)),IF(AS17&gt;AR18,3,IF(AS17&lt;AR18,0,1)),"")</f>
        <v/>
      </c>
    </row>
    <row r="18" spans="1:53" x14ac:dyDescent="0.25">
      <c r="A18" t="str">
        <f t="shared" si="0"/>
        <v>DampfnudelFunPowerTeam</v>
      </c>
      <c r="B18" t="str">
        <f>Spielplan!F29</f>
        <v>Dampfnudel</v>
      </c>
      <c r="C18" t="str">
        <f>Spielplan!K29</f>
        <v>FunPowerTeam</v>
      </c>
      <c r="D18" t="str">
        <f>IF(ISNUMBER(Spielplan!M29),Spielplan!M29,"")</f>
        <v/>
      </c>
      <c r="E18" t="str">
        <f>IF(ISNUMBER(Spielplan!O29),Spielplan!O29,"")</f>
        <v/>
      </c>
      <c r="G18" t="str">
        <f>Spielplan!C12</f>
        <v>MUH-Bande Jena</v>
      </c>
      <c r="H18" t="str">
        <f>VLOOKUP(H$5&amp;$G18,$A$5:$E$19,5,FALSE)</f>
        <v/>
      </c>
      <c r="I18" t="str">
        <f>VLOOKUP(I$5&amp;$G18,$A$5:$E$19,5,FALSE)</f>
        <v/>
      </c>
      <c r="J18" t="str">
        <f>VLOOKUP(J$5&amp;$G18,$A$5:$E$19,5,FALSE)</f>
        <v/>
      </c>
      <c r="K18" t="str">
        <f>VLOOKUP(K$5&amp;$G18,$A$5:$E$19,5,FALSE)</f>
        <v/>
      </c>
      <c r="L18" t="str">
        <f>VLOOKUP(L$5&amp;$G18,$A$5:$E$19,5,FALSE)</f>
        <v/>
      </c>
      <c r="M18" s="3"/>
      <c r="O18" t="str">
        <f t="shared" si="14"/>
        <v>MUH-Bande Jena</v>
      </c>
      <c r="P18" t="str">
        <f>IF(AND(ISNUMBER(H18),ISNUMBER(M13)),IF(H18&gt;M13,3,IF(H18&lt;M13,0,1)),"")</f>
        <v/>
      </c>
      <c r="Q18" t="str">
        <f>IF(AND(ISNUMBER(I18),ISNUMBER(M14)),IF(I18&gt;M14,3,IF(I18&lt;M14,0,1)),"")</f>
        <v/>
      </c>
      <c r="R18" t="str">
        <f>IF(AND(ISNUMBER(J18),ISNUMBER(M15)),IF(J18&gt;M15,3,IF(J18&lt;M15,0,1)),"")</f>
        <v/>
      </c>
      <c r="S18" t="str">
        <f>IF(AND(ISNUMBER(K18),ISNUMBER(M16)),IF(K18&gt;M16,3,IF(K18&lt;M16,0,1)),"")</f>
        <v/>
      </c>
      <c r="T18" t="str">
        <f>IF(AND(ISNUMBER(L18),ISNUMBER(M17)),IF(L18&gt;M17,3,IF(L18&lt;M17,0,1)),"")</f>
        <v/>
      </c>
      <c r="U18" s="3"/>
      <c r="AG18" t="str">
        <f t="shared" si="5"/>
        <v>MJC Trier - Die LegionäreSKV Mörfelden UniThunder</v>
      </c>
      <c r="AH18" t="str">
        <f>Spielplan!F67</f>
        <v>MJC Trier - Die Legionäre</v>
      </c>
      <c r="AI18" t="str">
        <f>Spielplan!K67</f>
        <v>SKV Mörfelden UniThunder</v>
      </c>
      <c r="AJ18" t="str">
        <f>IF(ISNUMBER(Spielplan!M67),Spielplan!M67,"")</f>
        <v/>
      </c>
      <c r="AK18" t="str">
        <f>IF(ISNUMBER(Spielplan!O67),Spielplan!O67,"")</f>
        <v/>
      </c>
      <c r="AM18" t="str">
        <f>Spielplan!C50</f>
        <v>Geisterfahrer</v>
      </c>
      <c r="AN18" t="str">
        <f>VLOOKUP(AN$5&amp;$AM18,$AG$5:$AK$19,5,FALSE)</f>
        <v/>
      </c>
      <c r="AO18" t="str">
        <f t="shared" si="17"/>
        <v/>
      </c>
      <c r="AP18" t="str">
        <f t="shared" si="17"/>
        <v/>
      </c>
      <c r="AQ18" t="str">
        <f t="shared" si="17"/>
        <v/>
      </c>
      <c r="AR18" t="str">
        <f>VLOOKUP(AR$5&amp;$AM18,$AG$5:$AK$19,5,FALSE)</f>
        <v/>
      </c>
      <c r="AS18" s="3"/>
      <c r="AU18" t="str">
        <f t="shared" si="16"/>
        <v>Geisterfahrer</v>
      </c>
      <c r="AV18" t="str">
        <f>IF(AND(ISNUMBER(AN18),ISNUMBER(AS13)),IF(AN18&gt;AS13,3,IF(AN18&lt;AS13,0,1)),"")</f>
        <v/>
      </c>
      <c r="AW18" t="str">
        <f>IF(AND(ISNUMBER(AO18),ISNUMBER(AS14)),IF(AO18&gt;AS14,3,IF(AO18&lt;AS14,0,1)),"")</f>
        <v/>
      </c>
      <c r="AX18" t="str">
        <f>IF(AND(ISNUMBER(AP18),ISNUMBER(AS15)),IF(AP18&gt;AS15,3,IF(AP18&lt;AS15,0,1)),"")</f>
        <v/>
      </c>
      <c r="AY18" t="str">
        <f>IF(AND(ISNUMBER(AQ18),ISNUMBER(AS16)),IF(AQ18&gt;AS16,3,IF(AQ18&lt;AS16,0,1)),"")</f>
        <v/>
      </c>
      <c r="AZ18" t="str">
        <f>IF(AND(ISNUMBER(AR18),ISNUMBER(AS17)),IF(AR18&gt;AS17,3,IF(AR18&lt;AS17,0,1)),"")</f>
        <v/>
      </c>
      <c r="BA18" s="3"/>
    </row>
    <row r="19" spans="1:53" ht="15" customHeight="1" x14ac:dyDescent="0.25">
      <c r="A19" t="str">
        <f t="shared" si="0"/>
        <v>BTC Heisse ReifenHockey Hawks</v>
      </c>
      <c r="B19" t="str">
        <f>Spielplan!F30</f>
        <v>BTC Heisse Reifen</v>
      </c>
      <c r="C19" t="str">
        <f>Spielplan!K30</f>
        <v>Hockey Hawks</v>
      </c>
      <c r="D19" t="str">
        <f>IF(ISNUMBER(Spielplan!M30),Spielplan!M30,"")</f>
        <v/>
      </c>
      <c r="E19" t="str">
        <f>IF(ISNUMBER(Spielplan!O30),Spielplan!O30,"")</f>
        <v/>
      </c>
      <c r="AG19" t="str">
        <f t="shared" si="5"/>
        <v>OnewheeleRSQuerrad</v>
      </c>
      <c r="AH19" t="str">
        <f>Spielplan!F68</f>
        <v>OnewheeleRS</v>
      </c>
      <c r="AI19" t="str">
        <f>Spielplan!K68</f>
        <v>Querrad</v>
      </c>
      <c r="AJ19" t="str">
        <f>IF(ISNUMBER(Spielplan!M68),Spielplan!M68,"")</f>
        <v/>
      </c>
      <c r="AK19" t="str">
        <f>IF(ISNUMBER(Spielplan!O68),Spielplan!O68,"")</f>
        <v/>
      </c>
    </row>
    <row r="22" spans="1:53" x14ac:dyDescent="0.25">
      <c r="A22" s="144" t="s">
        <v>37</v>
      </c>
      <c r="B22" s="144"/>
      <c r="C22" s="144"/>
      <c r="D22" s="144"/>
      <c r="E22" s="144"/>
      <c r="F22" s="144"/>
      <c r="G22" s="144"/>
      <c r="H22" s="144"/>
      <c r="I22" s="144"/>
      <c r="J22" s="144"/>
      <c r="K22" s="144"/>
      <c r="L22" s="144"/>
      <c r="M22" s="144"/>
      <c r="N22" s="144"/>
      <c r="O22" s="144"/>
      <c r="P22" s="144"/>
      <c r="Q22" s="144"/>
      <c r="R22" s="144"/>
      <c r="S22" s="144"/>
      <c r="T22" s="144"/>
      <c r="U22" s="144"/>
      <c r="V22" s="144"/>
      <c r="W22" s="144"/>
      <c r="X22" s="144"/>
      <c r="Y22" s="144"/>
      <c r="Z22" s="144"/>
      <c r="AA22" s="144"/>
      <c r="AB22" s="144"/>
      <c r="AC22" s="144"/>
      <c r="AD22" s="144"/>
      <c r="AE22" s="144"/>
      <c r="AF22" s="144"/>
    </row>
    <row r="23" spans="1:53" x14ac:dyDescent="0.25">
      <c r="A23" s="141" t="s">
        <v>38</v>
      </c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1"/>
      <c r="S23" s="141"/>
      <c r="T23" s="141"/>
      <c r="U23" s="141"/>
      <c r="V23" s="141"/>
      <c r="W23" s="141"/>
      <c r="X23" s="141"/>
      <c r="Y23" s="141"/>
      <c r="Z23" s="141"/>
      <c r="AA23" s="141"/>
      <c r="AB23" s="141"/>
      <c r="AC23" s="141"/>
      <c r="AD23" s="141"/>
      <c r="AE23" s="141"/>
      <c r="AF23" s="141"/>
    </row>
    <row r="25" spans="1:53" x14ac:dyDescent="0.25">
      <c r="A25" t="e">
        <f>RANK(C25,$C$25:$C$26,1)</f>
        <v>#N/A</v>
      </c>
      <c r="B25">
        <f>Vergleich!C6</f>
        <v>0</v>
      </c>
      <c r="C25" t="e">
        <f>MATCH(B25,Spielplan!$B$124:$B$135,0)</f>
        <v>#N/A</v>
      </c>
      <c r="G25" s="142" t="s">
        <v>27</v>
      </c>
      <c r="H25" s="143" t="e">
        <f>G33</f>
        <v>#N/A</v>
      </c>
      <c r="I25" s="143" t="e">
        <f>G34</f>
        <v>#N/A</v>
      </c>
      <c r="O25" s="142" t="s">
        <v>26</v>
      </c>
      <c r="P25" s="143" t="e">
        <f>H25</f>
        <v>#N/A</v>
      </c>
      <c r="Q25" s="143" t="e">
        <f>I25</f>
        <v>#N/A</v>
      </c>
      <c r="Y25" s="2" t="s">
        <v>33</v>
      </c>
      <c r="Z25" s="2" t="s">
        <v>25</v>
      </c>
      <c r="AA25" s="2" t="s">
        <v>26</v>
      </c>
      <c r="AB25" s="2" t="s">
        <v>27</v>
      </c>
      <c r="AC25" s="2" t="s">
        <v>28</v>
      </c>
      <c r="AD25" s="2" t="s">
        <v>31</v>
      </c>
      <c r="AE25" s="2" t="s">
        <v>32</v>
      </c>
    </row>
    <row r="26" spans="1:53" x14ac:dyDescent="0.25">
      <c r="A26" t="e">
        <f>RANK(C26,$C$25:$C$26,1)</f>
        <v>#N/A</v>
      </c>
      <c r="B26">
        <f>Vergleich!C7</f>
        <v>0</v>
      </c>
      <c r="C26" t="e">
        <f>MATCH(B26,Spielplan!$B$124:$B$135,0)</f>
        <v>#N/A</v>
      </c>
      <c r="G26" s="142"/>
      <c r="H26" s="143"/>
      <c r="I26" s="143"/>
      <c r="O26" s="142"/>
      <c r="P26" s="143"/>
      <c r="Q26" s="143"/>
      <c r="W26" t="e">
        <f>RANK(X26,$X$26:$X$27)</f>
        <v>#N/A</v>
      </c>
      <c r="X26" t="e">
        <f>10000*AA26+100*AB26+AE26</f>
        <v>#N/A</v>
      </c>
      <c r="Y26" t="e">
        <f>G33</f>
        <v>#N/A</v>
      </c>
      <c r="Z26">
        <f>IF(COUNT($H33:$I33)=COUNT(H33:H34),COUNT($H33:$I33),"")</f>
        <v>0</v>
      </c>
      <c r="AA26">
        <f>SUM(P33:Q33)</f>
        <v>0</v>
      </c>
      <c r="AB26" t="e">
        <f>SUM(H33:I33)</f>
        <v>#N/A</v>
      </c>
      <c r="AC26" t="e">
        <f>SUM(H33:H34)</f>
        <v>#N/A</v>
      </c>
      <c r="AD26" t="e">
        <f>AB26-AC26</f>
        <v>#N/A</v>
      </c>
      <c r="AE26">
        <v>0.2</v>
      </c>
    </row>
    <row r="27" spans="1:53" x14ac:dyDescent="0.25">
      <c r="G27" s="142"/>
      <c r="H27" s="143"/>
      <c r="I27" s="143"/>
      <c r="O27" s="142"/>
      <c r="P27" s="143"/>
      <c r="Q27" s="143"/>
      <c r="W27" t="e">
        <f>RANK(X27,$X$26:$X$27)</f>
        <v>#N/A</v>
      </c>
      <c r="X27" t="e">
        <f>10000*AA27+100*AB27+AE27</f>
        <v>#N/A</v>
      </c>
      <c r="Y27" t="e">
        <f>G34</f>
        <v>#N/A</v>
      </c>
      <c r="Z27">
        <f>IF(COUNT($H34:$I34)=COUNT(I33:I34),COUNT($H34:$I34),"")</f>
        <v>0</v>
      </c>
      <c r="AA27">
        <f>SUM(P34:Q34)</f>
        <v>0</v>
      </c>
      <c r="AB27" t="e">
        <f>SUM(H34:I34)</f>
        <v>#N/A</v>
      </c>
      <c r="AC27" t="e">
        <f>SUM(I33:I34)</f>
        <v>#N/A</v>
      </c>
      <c r="AD27" t="e">
        <f t="shared" ref="AD27" si="18">AB27-AC27</f>
        <v>#N/A</v>
      </c>
      <c r="AE27">
        <v>0.1</v>
      </c>
    </row>
    <row r="28" spans="1:53" x14ac:dyDescent="0.25">
      <c r="A28">
        <v>1</v>
      </c>
      <c r="B28" t="e">
        <f>VLOOKUP(A28,$A$25:$C$26,2,FALSE)</f>
        <v>#N/A</v>
      </c>
      <c r="G28" s="142"/>
      <c r="H28" s="143"/>
      <c r="I28" s="143"/>
      <c r="O28" s="142"/>
      <c r="P28" s="143"/>
      <c r="Q28" s="143"/>
    </row>
    <row r="29" spans="1:53" x14ac:dyDescent="0.25">
      <c r="A29">
        <v>2</v>
      </c>
      <c r="B29" t="e">
        <f>VLOOKUP(A29,$A$25:$C$26,2,FALSE)</f>
        <v>#N/A</v>
      </c>
      <c r="G29" s="142"/>
      <c r="H29" s="143"/>
      <c r="I29" s="143"/>
      <c r="O29" s="142"/>
      <c r="P29" s="143"/>
      <c r="Q29" s="143"/>
    </row>
    <row r="30" spans="1:53" x14ac:dyDescent="0.25">
      <c r="G30" s="142"/>
      <c r="H30" s="143"/>
      <c r="I30" s="143"/>
      <c r="O30" s="142"/>
      <c r="P30" s="143"/>
      <c r="Q30" s="143"/>
    </row>
    <row r="31" spans="1:53" x14ac:dyDescent="0.25">
      <c r="G31" s="142"/>
      <c r="H31" s="143"/>
      <c r="I31" s="143"/>
      <c r="O31" s="142"/>
      <c r="P31" s="143"/>
      <c r="Q31" s="143"/>
    </row>
    <row r="32" spans="1:53" x14ac:dyDescent="0.25">
      <c r="G32" s="142"/>
      <c r="H32" s="143"/>
      <c r="I32" s="143"/>
      <c r="O32" s="142"/>
      <c r="P32" s="143"/>
      <c r="Q32" s="143"/>
    </row>
    <row r="33" spans="1:32" x14ac:dyDescent="0.25">
      <c r="G33" t="e">
        <f>B28</f>
        <v>#N/A</v>
      </c>
      <c r="H33" s="3"/>
      <c r="I33" t="e">
        <f>VLOOKUP($G33&amp;I$25,$A$5:$E$19,4,FALSE)</f>
        <v>#N/A</v>
      </c>
      <c r="O33" t="e">
        <f>G33</f>
        <v>#N/A</v>
      </c>
      <c r="P33" s="3"/>
      <c r="Q33" t="str">
        <f>IF(AND(ISNUMBER(I33),ISNUMBER(H34)),IF(I33&gt;H34,3,IF(I33&lt;H34,0,1)),"")</f>
        <v/>
      </c>
    </row>
    <row r="34" spans="1:32" x14ac:dyDescent="0.25">
      <c r="G34" t="e">
        <f>B29</f>
        <v>#N/A</v>
      </c>
      <c r="H34" t="e">
        <f>VLOOKUP(H$25&amp;$G34,$A$5:$E$19,5,FALSE)</f>
        <v>#N/A</v>
      </c>
      <c r="I34" s="3"/>
      <c r="O34" t="e">
        <f>G34</f>
        <v>#N/A</v>
      </c>
      <c r="P34" t="str">
        <f>IF(AND(ISNUMBER(H34),ISNUMBER(I33)),IF(H34&gt;I33,3,IF(H34&lt;I33,0,1)),"")</f>
        <v/>
      </c>
      <c r="Q34" s="3"/>
    </row>
    <row r="38" spans="1:32" x14ac:dyDescent="0.25">
      <c r="A38" s="141" t="s">
        <v>43</v>
      </c>
      <c r="B38" s="141"/>
      <c r="C38" s="141"/>
      <c r="D38" s="141"/>
      <c r="E38" s="141"/>
      <c r="F38" s="141"/>
      <c r="G38" s="141"/>
      <c r="H38" s="141"/>
      <c r="I38" s="141"/>
      <c r="J38" s="141"/>
      <c r="K38" s="141"/>
      <c r="L38" s="141"/>
      <c r="M38" s="141"/>
      <c r="N38" s="141"/>
      <c r="O38" s="141"/>
      <c r="P38" s="141"/>
      <c r="Q38" s="141"/>
      <c r="R38" s="141"/>
      <c r="S38" s="141"/>
      <c r="T38" s="141"/>
      <c r="U38" s="141"/>
      <c r="V38" s="141"/>
      <c r="W38" s="141"/>
      <c r="X38" s="141"/>
      <c r="Y38" s="141"/>
      <c r="Z38" s="141"/>
      <c r="AA38" s="141"/>
      <c r="AB38" s="141"/>
      <c r="AC38" s="141"/>
      <c r="AD38" s="141"/>
      <c r="AE38" s="141"/>
      <c r="AF38" s="141"/>
    </row>
    <row r="40" spans="1:32" ht="15" customHeight="1" x14ac:dyDescent="0.25">
      <c r="A40" t="e">
        <f>RANK(C40,$C$40:$C$42,1)</f>
        <v>#N/A</v>
      </c>
      <c r="B40">
        <f>Vergleich!C16</f>
        <v>0</v>
      </c>
      <c r="C40" t="e">
        <f>MATCH(B40,Spielplan!$B$124:$B$135,0)</f>
        <v>#N/A</v>
      </c>
      <c r="D40" t="str">
        <f ca="1">IFERROR(VLOOKUP($A40,INDIRECT(#REF!),COLUMN(),FALSE),"")</f>
        <v/>
      </c>
      <c r="E40" t="str">
        <f ca="1">IFERROR(VLOOKUP($A40,INDIRECT(#REF!),COLUMN(),FALSE),"")</f>
        <v/>
      </c>
      <c r="G40" s="142" t="s">
        <v>27</v>
      </c>
      <c r="H40" s="143" t="e">
        <f>G48</f>
        <v>#N/A</v>
      </c>
      <c r="I40" s="143" t="e">
        <f>G49</f>
        <v>#N/A</v>
      </c>
      <c r="J40" s="143" t="e">
        <f>G50</f>
        <v>#N/A</v>
      </c>
      <c r="O40" s="142" t="s">
        <v>26</v>
      </c>
      <c r="P40" s="143" t="e">
        <f>H40</f>
        <v>#N/A</v>
      </c>
      <c r="Q40" s="143" t="e">
        <f>I40</f>
        <v>#N/A</v>
      </c>
      <c r="R40" s="143" t="e">
        <f>J40</f>
        <v>#N/A</v>
      </c>
      <c r="Y40" s="2" t="s">
        <v>33</v>
      </c>
      <c r="Z40" s="2" t="s">
        <v>25</v>
      </c>
      <c r="AA40" s="2" t="s">
        <v>26</v>
      </c>
      <c r="AB40" s="2" t="s">
        <v>27</v>
      </c>
      <c r="AC40" s="2" t="s">
        <v>28</v>
      </c>
      <c r="AD40" s="2" t="s">
        <v>31</v>
      </c>
      <c r="AE40" s="2" t="s">
        <v>32</v>
      </c>
    </row>
    <row r="41" spans="1:32" x14ac:dyDescent="0.25">
      <c r="A41" t="e">
        <f t="shared" ref="A41:A42" si="19">RANK(C41,$C$40:$C$42,1)</f>
        <v>#N/A</v>
      </c>
      <c r="B41">
        <f>Vergleich!C17</f>
        <v>0</v>
      </c>
      <c r="C41" t="e">
        <f>MATCH(B41,Spielplan!$B$124:$B$135,0)</f>
        <v>#N/A</v>
      </c>
      <c r="D41" t="str">
        <f ca="1">IFERROR(VLOOKUP($A41,INDIRECT(#REF!),COLUMN(),FALSE),"")</f>
        <v/>
      </c>
      <c r="E41" t="str">
        <f ca="1">IFERROR(VLOOKUP($A41,INDIRECT(#REF!),COLUMN(),FALSE),"")</f>
        <v/>
      </c>
      <c r="G41" s="142"/>
      <c r="H41" s="143"/>
      <c r="I41" s="143"/>
      <c r="J41" s="143"/>
      <c r="O41" s="142"/>
      <c r="P41" s="143"/>
      <c r="Q41" s="143"/>
      <c r="R41" s="143"/>
      <c r="W41" t="e">
        <f>RANK(X41,$X$41:$X$43)</f>
        <v>#N/A</v>
      </c>
      <c r="X41" t="e">
        <f>10000*AA41+100*AB41+AE41</f>
        <v>#N/A</v>
      </c>
      <c r="Y41" t="e">
        <f>G48</f>
        <v>#N/A</v>
      </c>
      <c r="Z41">
        <f>IF(COUNT($H48:$J48)=COUNT(H48:H50),COUNT($H48:$J48),"")</f>
        <v>0</v>
      </c>
      <c r="AA41">
        <f>SUM(P48:R48)</f>
        <v>0</v>
      </c>
      <c r="AB41" t="e">
        <f>SUM(H48:J48)</f>
        <v>#N/A</v>
      </c>
      <c r="AC41" t="e">
        <f>SUM(H48:H50)</f>
        <v>#N/A</v>
      </c>
      <c r="AD41" t="e">
        <f>AB41-AC41</f>
        <v>#N/A</v>
      </c>
      <c r="AE41">
        <v>0.3</v>
      </c>
    </row>
    <row r="42" spans="1:32" x14ac:dyDescent="0.25">
      <c r="A42" t="e">
        <f t="shared" si="19"/>
        <v>#N/A</v>
      </c>
      <c r="B42">
        <f>Vergleich!C18</f>
        <v>0</v>
      </c>
      <c r="C42" t="e">
        <f>MATCH(B42,Spielplan!$B$124:$B$135,0)</f>
        <v>#N/A</v>
      </c>
      <c r="D42" t="str">
        <f ca="1">IFERROR(VLOOKUP($A42,INDIRECT(#REF!),COLUMN(),FALSE),"")</f>
        <v/>
      </c>
      <c r="E42" t="str">
        <f ca="1">IFERROR(VLOOKUP($A42,INDIRECT(#REF!),COLUMN(),FALSE),"")</f>
        <v/>
      </c>
      <c r="G42" s="142"/>
      <c r="H42" s="143"/>
      <c r="I42" s="143"/>
      <c r="J42" s="143"/>
      <c r="O42" s="142"/>
      <c r="P42" s="143"/>
      <c r="Q42" s="143"/>
      <c r="R42" s="143"/>
      <c r="W42" t="e">
        <f>RANK(X42,$X$41:$X$43)</f>
        <v>#N/A</v>
      </c>
      <c r="X42" t="e">
        <f>10000*AA42+100*AB42+AE42</f>
        <v>#N/A</v>
      </c>
      <c r="Y42" t="e">
        <f>G49</f>
        <v>#N/A</v>
      </c>
      <c r="Z42">
        <f>IF(COUNT($H49:$J49)=COUNT(I48:I50),COUNT($H49:$J49),"")</f>
        <v>0</v>
      </c>
      <c r="AA42">
        <f>SUM(P49:R49)</f>
        <v>0</v>
      </c>
      <c r="AB42" t="e">
        <f>SUM(H49:J49)</f>
        <v>#N/A</v>
      </c>
      <c r="AC42" t="e">
        <f>SUM(I48:I50)</f>
        <v>#N/A</v>
      </c>
      <c r="AD42" t="e">
        <f t="shared" ref="AD42:AD43" si="20">AB42-AC42</f>
        <v>#N/A</v>
      </c>
      <c r="AE42">
        <v>0.2</v>
      </c>
    </row>
    <row r="43" spans="1:32" x14ac:dyDescent="0.25">
      <c r="D43" t="str">
        <f ca="1">IFERROR(VLOOKUP($A43,INDIRECT(#REF!),COLUMN(),FALSE),"")</f>
        <v/>
      </c>
      <c r="E43" t="str">
        <f ca="1">IFERROR(VLOOKUP($A43,INDIRECT(#REF!),COLUMN(),FALSE),"")</f>
        <v/>
      </c>
      <c r="G43" s="142"/>
      <c r="H43" s="143"/>
      <c r="I43" s="143"/>
      <c r="J43" s="143"/>
      <c r="O43" s="142"/>
      <c r="P43" s="143"/>
      <c r="Q43" s="143"/>
      <c r="R43" s="143"/>
      <c r="W43" t="e">
        <f>RANK(X43,$X$41:$X$43)</f>
        <v>#N/A</v>
      </c>
      <c r="X43" t="e">
        <f>10000*AA43+100*AB43+AE43</f>
        <v>#N/A</v>
      </c>
      <c r="Y43" t="e">
        <f>G50</f>
        <v>#N/A</v>
      </c>
      <c r="Z43">
        <f>IF(COUNT($H50:$J50)=COUNT(J48:J50),COUNT($H50:$J50),"")</f>
        <v>0</v>
      </c>
      <c r="AA43">
        <f>SUM(P50:R50)</f>
        <v>0</v>
      </c>
      <c r="AB43" t="e">
        <f>SUM(H50:J50)</f>
        <v>#N/A</v>
      </c>
      <c r="AC43" t="e">
        <f>SUM(J48:J50)</f>
        <v>#N/A</v>
      </c>
      <c r="AD43" t="e">
        <f t="shared" si="20"/>
        <v>#N/A</v>
      </c>
      <c r="AE43">
        <v>0.1</v>
      </c>
    </row>
    <row r="44" spans="1:32" x14ac:dyDescent="0.25">
      <c r="A44">
        <v>1</v>
      </c>
      <c r="B44" t="e">
        <f>VLOOKUP(A44,$A$40:$C$42,2,FALSE)</f>
        <v>#N/A</v>
      </c>
      <c r="D44" t="str">
        <f ca="1">IFERROR(VLOOKUP($A44,INDIRECT(#REF!),COLUMN(),FALSE),"")</f>
        <v/>
      </c>
      <c r="E44" t="str">
        <f ca="1">IFERROR(VLOOKUP($A44,INDIRECT(#REF!),COLUMN(),FALSE),"")</f>
        <v/>
      </c>
      <c r="G44" s="142"/>
      <c r="H44" s="143"/>
      <c r="I44" s="143"/>
      <c r="J44" s="143"/>
      <c r="O44" s="142"/>
      <c r="P44" s="143"/>
      <c r="Q44" s="143"/>
      <c r="R44" s="143"/>
    </row>
    <row r="45" spans="1:32" x14ac:dyDescent="0.25">
      <c r="A45">
        <v>2</v>
      </c>
      <c r="B45" t="e">
        <f t="shared" ref="B45:B46" si="21">VLOOKUP(A45,$A$40:$C$42,2,FALSE)</f>
        <v>#N/A</v>
      </c>
      <c r="D45" t="str">
        <f ca="1">IFERROR(VLOOKUP($A45,INDIRECT(#REF!),COLUMN(),FALSE),"")</f>
        <v/>
      </c>
      <c r="E45" t="str">
        <f ca="1">IFERROR(VLOOKUP($A45,INDIRECT(#REF!),COLUMN(),FALSE),"")</f>
        <v/>
      </c>
      <c r="G45" s="142"/>
      <c r="H45" s="143"/>
      <c r="I45" s="143"/>
      <c r="J45" s="143"/>
      <c r="O45" s="142"/>
      <c r="P45" s="143"/>
      <c r="Q45" s="143"/>
      <c r="R45" s="143"/>
    </row>
    <row r="46" spans="1:32" x14ac:dyDescent="0.25">
      <c r="A46">
        <v>3</v>
      </c>
      <c r="B46" t="e">
        <f t="shared" si="21"/>
        <v>#N/A</v>
      </c>
      <c r="D46" t="str">
        <f ca="1">IFERROR(VLOOKUP($A46,INDIRECT(#REF!),COLUMN(),FALSE),"")</f>
        <v/>
      </c>
      <c r="E46" t="str">
        <f ca="1">IFERROR(VLOOKUP($A46,INDIRECT(#REF!),COLUMN(),FALSE),"")</f>
        <v/>
      </c>
      <c r="G46" s="142"/>
      <c r="H46" s="143"/>
      <c r="I46" s="143"/>
      <c r="J46" s="143"/>
      <c r="O46" s="142"/>
      <c r="P46" s="143"/>
      <c r="Q46" s="143"/>
      <c r="R46" s="143"/>
    </row>
    <row r="47" spans="1:32" x14ac:dyDescent="0.25">
      <c r="D47" t="str">
        <f ca="1">IFERROR(VLOOKUP($A47,INDIRECT(#REF!),COLUMN(),FALSE),"")</f>
        <v/>
      </c>
      <c r="E47" t="str">
        <f ca="1">IFERROR(VLOOKUP($A47,INDIRECT(#REF!),COLUMN(),FALSE),"")</f>
        <v/>
      </c>
      <c r="G47" s="142"/>
      <c r="H47" s="143"/>
      <c r="I47" s="143"/>
      <c r="J47" s="143"/>
      <c r="O47" s="142"/>
      <c r="P47" s="143"/>
      <c r="Q47" s="143"/>
      <c r="R47" s="143"/>
    </row>
    <row r="48" spans="1:32" x14ac:dyDescent="0.25">
      <c r="D48" t="str">
        <f ca="1">IFERROR(VLOOKUP($A48,INDIRECT(#REF!),COLUMN(),FALSE),"")</f>
        <v/>
      </c>
      <c r="E48" t="str">
        <f ca="1">IFERROR(VLOOKUP($A48,INDIRECT(#REF!),COLUMN(),FALSE),"")</f>
        <v/>
      </c>
      <c r="G48" t="e">
        <f t="shared" ref="G48:G50" si="22">B44</f>
        <v>#N/A</v>
      </c>
      <c r="H48" s="3"/>
      <c r="I48" t="e">
        <f>VLOOKUP($G48&amp;I$40,$A$5:$E$19,4,FALSE)</f>
        <v>#N/A</v>
      </c>
      <c r="J48" t="e">
        <f>VLOOKUP($G48&amp;J$40,$A$5:$E$19,4,FALSE)</f>
        <v>#N/A</v>
      </c>
      <c r="O48" t="e">
        <f>G48</f>
        <v>#N/A</v>
      </c>
      <c r="P48" s="3"/>
      <c r="Q48" t="str">
        <f>IF(AND(ISNUMBER(I48),ISNUMBER(H49)),IF(I48&gt;H49,3,IF(I48&lt;H49,0,1)),"")</f>
        <v/>
      </c>
      <c r="R48" t="str">
        <f>IF(AND(ISNUMBER(J48),ISNUMBER(H50)),IF(J48&gt;H50,3,IF(J48&lt;H50,0,1)),"")</f>
        <v/>
      </c>
    </row>
    <row r="49" spans="1:32" x14ac:dyDescent="0.25">
      <c r="D49" t="str">
        <f ca="1">IFERROR(VLOOKUP($A49,INDIRECT(#REF!),COLUMN(),FALSE),"")</f>
        <v/>
      </c>
      <c r="E49" t="str">
        <f ca="1">IFERROR(VLOOKUP($A49,INDIRECT(#REF!),COLUMN(),FALSE),"")</f>
        <v/>
      </c>
      <c r="G49" t="e">
        <f t="shared" si="22"/>
        <v>#N/A</v>
      </c>
      <c r="H49" t="e">
        <f>VLOOKUP(H$40&amp;$G49,$A$5:$E$19,5,FALSE)</f>
        <v>#N/A</v>
      </c>
      <c r="I49" s="3"/>
      <c r="J49" t="e">
        <f>VLOOKUP($G49&amp;J$40,$A$5:$E$19,4,FALSE)</f>
        <v>#N/A</v>
      </c>
      <c r="O49" t="e">
        <f>G49</f>
        <v>#N/A</v>
      </c>
      <c r="P49" t="str">
        <f>IF(AND(ISNUMBER(H49),ISNUMBER(I48)),IF(H49&gt;I48,3,IF(H49&lt;I48,0,1)),"")</f>
        <v/>
      </c>
      <c r="Q49" s="3"/>
      <c r="R49" t="str">
        <f>IF(AND(ISNUMBER(J49),ISNUMBER(I50)),IF(J49&gt;I50,3,IF(J49&lt;I50,0,1)),"")</f>
        <v/>
      </c>
    </row>
    <row r="50" spans="1:32" x14ac:dyDescent="0.25">
      <c r="D50" t="str">
        <f ca="1">IFERROR(VLOOKUP($A50,INDIRECT(#REF!),COLUMN(),FALSE),"")</f>
        <v/>
      </c>
      <c r="E50" t="str">
        <f ca="1">IFERROR(VLOOKUP($A50,INDIRECT(#REF!),COLUMN(),FALSE),"")</f>
        <v/>
      </c>
      <c r="G50" t="e">
        <f t="shared" si="22"/>
        <v>#N/A</v>
      </c>
      <c r="H50" t="e">
        <f>VLOOKUP(H$40&amp;$G50,$A$5:$E$19,5,FALSE)</f>
        <v>#N/A</v>
      </c>
      <c r="I50" t="e">
        <f>VLOOKUP(I$40&amp;$G50,$A$5:$E$19,5,FALSE)</f>
        <v>#N/A</v>
      </c>
      <c r="J50" s="3"/>
      <c r="O50" t="e">
        <f>G50</f>
        <v>#N/A</v>
      </c>
      <c r="P50" t="str">
        <f>IF(AND(ISNUMBER(H50),ISNUMBER(J48)),IF(H50&gt;J48,3,IF(H50&lt;J48,0,1)),"")</f>
        <v/>
      </c>
      <c r="Q50" t="str">
        <f>IF(AND(ISNUMBER(I50),ISNUMBER(J49)),IF(I50&gt;J49,3,IF(I50&lt;J49,0,1)),"")</f>
        <v/>
      </c>
      <c r="R50" s="3"/>
    </row>
    <row r="51" spans="1:32" x14ac:dyDescent="0.25">
      <c r="D51" t="str">
        <f ca="1">IFERROR(VLOOKUP($A51,INDIRECT(#REF!),COLUMN(),FALSE),"")</f>
        <v/>
      </c>
      <c r="E51" t="str">
        <f ca="1">IFERROR(VLOOKUP($A51,INDIRECT(#REF!),COLUMN(),FALSE),"")</f>
        <v/>
      </c>
    </row>
    <row r="54" spans="1:32" x14ac:dyDescent="0.25">
      <c r="A54" s="141" t="s">
        <v>46</v>
      </c>
      <c r="B54" s="141"/>
      <c r="C54" s="141"/>
      <c r="D54" s="141"/>
      <c r="E54" s="141"/>
      <c r="F54" s="141"/>
      <c r="G54" s="141"/>
      <c r="H54" s="141"/>
      <c r="I54" s="141"/>
      <c r="J54" s="141"/>
      <c r="K54" s="141"/>
      <c r="L54" s="141"/>
      <c r="M54" s="141"/>
      <c r="N54" s="141"/>
      <c r="O54" s="141"/>
      <c r="P54" s="141"/>
      <c r="Q54" s="141"/>
      <c r="R54" s="141"/>
      <c r="S54" s="141"/>
      <c r="T54" s="141"/>
      <c r="U54" s="141"/>
      <c r="V54" s="141"/>
      <c r="W54" s="141"/>
      <c r="X54" s="141"/>
      <c r="Y54" s="141"/>
      <c r="Z54" s="141"/>
      <c r="AA54" s="141"/>
      <c r="AB54" s="141"/>
      <c r="AC54" s="141"/>
      <c r="AD54" s="141"/>
      <c r="AE54" s="141"/>
      <c r="AF54" s="141"/>
    </row>
    <row r="56" spans="1:32" x14ac:dyDescent="0.25">
      <c r="A56" t="e">
        <f>RANK(C56,$C$56:$C$59,1)</f>
        <v>#N/A</v>
      </c>
      <c r="B56">
        <f>Vergleich!C28</f>
        <v>0</v>
      </c>
      <c r="C56" t="e">
        <f>MATCH(B56,Spielplan!$B$124:$B$135,0)</f>
        <v>#N/A</v>
      </c>
      <c r="G56" s="142" t="s">
        <v>27</v>
      </c>
      <c r="H56" s="143" t="e">
        <f>G64</f>
        <v>#N/A</v>
      </c>
      <c r="I56" s="143" t="e">
        <f>G65</f>
        <v>#N/A</v>
      </c>
      <c r="J56" s="143" t="e">
        <f>G66</f>
        <v>#N/A</v>
      </c>
      <c r="K56" s="143" t="e">
        <f>G67</f>
        <v>#N/A</v>
      </c>
      <c r="O56" s="142" t="s">
        <v>26</v>
      </c>
      <c r="P56" s="143" t="e">
        <f>H56</f>
        <v>#N/A</v>
      </c>
      <c r="Q56" s="143" t="e">
        <f>I56</f>
        <v>#N/A</v>
      </c>
      <c r="R56" s="143" t="e">
        <f>J56</f>
        <v>#N/A</v>
      </c>
      <c r="S56" s="143" t="e">
        <f>K56</f>
        <v>#N/A</v>
      </c>
      <c r="Y56" s="2" t="s">
        <v>33</v>
      </c>
      <c r="Z56" s="2" t="s">
        <v>25</v>
      </c>
      <c r="AA56" s="2" t="s">
        <v>26</v>
      </c>
      <c r="AB56" s="2" t="s">
        <v>27</v>
      </c>
      <c r="AC56" s="2" t="s">
        <v>28</v>
      </c>
      <c r="AD56" s="2" t="s">
        <v>31</v>
      </c>
      <c r="AE56" s="2" t="s">
        <v>32</v>
      </c>
    </row>
    <row r="57" spans="1:32" x14ac:dyDescent="0.25">
      <c r="A57" t="e">
        <f>RANK(C57,$C$56:$C$59,1)</f>
        <v>#N/A</v>
      </c>
      <c r="B57">
        <f>Vergleich!C29</f>
        <v>0</v>
      </c>
      <c r="C57" t="e">
        <f>MATCH(B57,Spielplan!$B$124:$B$135,0)</f>
        <v>#N/A</v>
      </c>
      <c r="G57" s="142"/>
      <c r="H57" s="143"/>
      <c r="I57" s="143"/>
      <c r="J57" s="143"/>
      <c r="K57" s="143"/>
      <c r="O57" s="142"/>
      <c r="P57" s="143"/>
      <c r="Q57" s="143"/>
      <c r="R57" s="143"/>
      <c r="S57" s="143"/>
      <c r="W57" t="e">
        <f>RANK(X57,$X$57:$X$60)</f>
        <v>#N/A</v>
      </c>
      <c r="X57" t="e">
        <f>10000*AA57+100*AB57+AE57</f>
        <v>#N/A</v>
      </c>
      <c r="Y57" t="e">
        <f>B61</f>
        <v>#N/A</v>
      </c>
      <c r="Z57">
        <f>IF(COUNT($H64:$K64)=COUNT(H64:H67),COUNT($H64:$K64),"")</f>
        <v>0</v>
      </c>
      <c r="AA57">
        <f>SUM(P64:S64)</f>
        <v>0</v>
      </c>
      <c r="AB57" t="e">
        <f>SUM(H64:K64)</f>
        <v>#N/A</v>
      </c>
      <c r="AC57" t="e">
        <f>SUM(H64:H67)</f>
        <v>#N/A</v>
      </c>
      <c r="AD57" t="e">
        <f t="shared" ref="AD57:AD60" si="23">AB57-AC57</f>
        <v>#N/A</v>
      </c>
      <c r="AE57">
        <v>0.4</v>
      </c>
    </row>
    <row r="58" spans="1:32" x14ac:dyDescent="0.25">
      <c r="A58" t="e">
        <f>RANK(C58,$C$56:$C$59,1)</f>
        <v>#N/A</v>
      </c>
      <c r="B58">
        <f>Vergleich!C30</f>
        <v>0</v>
      </c>
      <c r="C58" t="e">
        <f>MATCH(B58,Spielplan!$B$124:$B$135,0)</f>
        <v>#N/A</v>
      </c>
      <c r="G58" s="142"/>
      <c r="H58" s="143"/>
      <c r="I58" s="143"/>
      <c r="J58" s="143"/>
      <c r="K58" s="143"/>
      <c r="O58" s="142"/>
      <c r="P58" s="143"/>
      <c r="Q58" s="143"/>
      <c r="R58" s="143"/>
      <c r="S58" s="143"/>
      <c r="W58" t="e">
        <f>RANK(X58,$X$57:$X$60)</f>
        <v>#N/A</v>
      </c>
      <c r="X58" t="e">
        <f>10000*AA58+100*AB58+AE58</f>
        <v>#N/A</v>
      </c>
      <c r="Y58" t="e">
        <f>B62</f>
        <v>#N/A</v>
      </c>
      <c r="Z58">
        <f>IF(COUNT($H65:$K65)=COUNT(I64:I67),COUNT($H65:$K65),"")</f>
        <v>0</v>
      </c>
      <c r="AA58">
        <f>SUM(P65:S65)</f>
        <v>0</v>
      </c>
      <c r="AB58" t="e">
        <f>SUM(H65:K65)</f>
        <v>#N/A</v>
      </c>
      <c r="AC58" t="e">
        <f>SUM(I64:I67)</f>
        <v>#N/A</v>
      </c>
      <c r="AD58" t="e">
        <f t="shared" si="23"/>
        <v>#N/A</v>
      </c>
      <c r="AE58">
        <v>0.3</v>
      </c>
    </row>
    <row r="59" spans="1:32" x14ac:dyDescent="0.25">
      <c r="A59" t="e">
        <f>RANK(C59,$C$56:$C$59,1)</f>
        <v>#N/A</v>
      </c>
      <c r="B59">
        <f>Vergleich!C31</f>
        <v>0</v>
      </c>
      <c r="C59" t="e">
        <f>MATCH(B59,Spielplan!$B$124:$B$135,0)</f>
        <v>#N/A</v>
      </c>
      <c r="G59" s="142"/>
      <c r="H59" s="143"/>
      <c r="I59" s="143"/>
      <c r="J59" s="143"/>
      <c r="K59" s="143"/>
      <c r="O59" s="142"/>
      <c r="P59" s="143"/>
      <c r="Q59" s="143"/>
      <c r="R59" s="143"/>
      <c r="S59" s="143"/>
      <c r="W59" t="e">
        <f>RANK(X59,$X$57:$X$60)</f>
        <v>#N/A</v>
      </c>
      <c r="X59" t="e">
        <f>10000*AA59+100*AB59+AE59</f>
        <v>#N/A</v>
      </c>
      <c r="Y59" t="e">
        <f>B63</f>
        <v>#N/A</v>
      </c>
      <c r="Z59">
        <f>IF(COUNT($H66:$K66)=COUNT(J64:J67),COUNT($H66:$K66),"")</f>
        <v>0</v>
      </c>
      <c r="AA59">
        <f>SUM(P66:S66)</f>
        <v>0</v>
      </c>
      <c r="AB59" t="e">
        <f>SUM(H66:K66)</f>
        <v>#N/A</v>
      </c>
      <c r="AC59" t="e">
        <f>SUM(J64:J67)</f>
        <v>#N/A</v>
      </c>
      <c r="AD59" t="e">
        <f t="shared" si="23"/>
        <v>#N/A</v>
      </c>
      <c r="AE59">
        <v>0.2</v>
      </c>
    </row>
    <row r="60" spans="1:32" x14ac:dyDescent="0.25">
      <c r="G60" s="142"/>
      <c r="H60" s="143"/>
      <c r="I60" s="143"/>
      <c r="J60" s="143"/>
      <c r="K60" s="143"/>
      <c r="O60" s="142"/>
      <c r="P60" s="143"/>
      <c r="Q60" s="143"/>
      <c r="R60" s="143"/>
      <c r="S60" s="143"/>
      <c r="W60" t="e">
        <f>RANK(X60,$X$57:$X$60)</f>
        <v>#N/A</v>
      </c>
      <c r="X60" t="e">
        <f>10000*AA60+100*AB60+AE60</f>
        <v>#N/A</v>
      </c>
      <c r="Y60" t="e">
        <f>B64</f>
        <v>#N/A</v>
      </c>
      <c r="Z60">
        <f>IF(COUNT($H67:$K67)=COUNT(K64:K67),COUNT($H67:$K67),"")</f>
        <v>0</v>
      </c>
      <c r="AA60">
        <f>SUM(P67:S67)</f>
        <v>0</v>
      </c>
      <c r="AB60" t="e">
        <f>SUM(H67:K67)</f>
        <v>#N/A</v>
      </c>
      <c r="AC60" t="e">
        <f>SUM(K64:K67)</f>
        <v>#N/A</v>
      </c>
      <c r="AD60" t="e">
        <f t="shared" si="23"/>
        <v>#N/A</v>
      </c>
      <c r="AE60">
        <v>0.1</v>
      </c>
    </row>
    <row r="61" spans="1:32" x14ac:dyDescent="0.25">
      <c r="A61">
        <v>1</v>
      </c>
      <c r="B61" t="e">
        <f>VLOOKUP(A61,$A$56:$C$59,2,FALSE)</f>
        <v>#N/A</v>
      </c>
      <c r="G61" s="142"/>
      <c r="H61" s="143"/>
      <c r="I61" s="143"/>
      <c r="J61" s="143"/>
      <c r="K61" s="143"/>
      <c r="O61" s="142"/>
      <c r="P61" s="143"/>
      <c r="Q61" s="143"/>
      <c r="R61" s="143"/>
      <c r="S61" s="143"/>
    </row>
    <row r="62" spans="1:32" x14ac:dyDescent="0.25">
      <c r="A62">
        <v>2</v>
      </c>
      <c r="B62" t="e">
        <f t="shared" ref="B62:B64" si="24">VLOOKUP(A62,$A$56:$C$59,2,FALSE)</f>
        <v>#N/A</v>
      </c>
      <c r="G62" s="142"/>
      <c r="H62" s="143"/>
      <c r="I62" s="143"/>
      <c r="J62" s="143"/>
      <c r="K62" s="143"/>
      <c r="O62" s="142"/>
      <c r="P62" s="143"/>
      <c r="Q62" s="143"/>
      <c r="R62" s="143"/>
      <c r="S62" s="143"/>
    </row>
    <row r="63" spans="1:32" x14ac:dyDescent="0.25">
      <c r="A63">
        <v>3</v>
      </c>
      <c r="B63" t="e">
        <f t="shared" si="24"/>
        <v>#N/A</v>
      </c>
      <c r="G63" s="142"/>
      <c r="H63" s="143"/>
      <c r="I63" s="143"/>
      <c r="J63" s="143"/>
      <c r="K63" s="143"/>
      <c r="O63" s="142"/>
      <c r="P63" s="143"/>
      <c r="Q63" s="143"/>
      <c r="R63" s="143"/>
      <c r="S63" s="143"/>
    </row>
    <row r="64" spans="1:32" x14ac:dyDescent="0.25">
      <c r="A64">
        <v>4</v>
      </c>
      <c r="B64" t="e">
        <f t="shared" si="24"/>
        <v>#N/A</v>
      </c>
      <c r="G64" t="e">
        <f t="shared" ref="G64:G67" si="25">B61</f>
        <v>#N/A</v>
      </c>
      <c r="H64" s="3"/>
      <c r="I64" t="e">
        <f>VLOOKUP($G64&amp;I$56,$A$5:$E$19,4,FALSE)</f>
        <v>#N/A</v>
      </c>
      <c r="J64" t="e">
        <f>VLOOKUP($G64&amp;J$56,$A$5:$E$19,4,FALSE)</f>
        <v>#N/A</v>
      </c>
      <c r="K64" t="e">
        <f>VLOOKUP($G64&amp;K$56,$A$5:$E$19,4,FALSE)</f>
        <v>#N/A</v>
      </c>
      <c r="O64" t="e">
        <f>G64</f>
        <v>#N/A</v>
      </c>
      <c r="P64" s="3"/>
      <c r="Q64" t="str">
        <f>IF(AND(ISNUMBER(I64),ISNUMBER(H65)),IF(I64&gt;H65,3,IF(I64&lt;H65,0,1)),"")</f>
        <v/>
      </c>
      <c r="R64" t="str">
        <f>IF(AND(ISNUMBER(J64),ISNUMBER(H66)),IF(J64&gt;H66,3,IF(J64&lt;H66,0,1)),"")</f>
        <v/>
      </c>
      <c r="S64" t="str">
        <f>IF(AND(ISNUMBER(K64),ISNUMBER(H67)),IF(K64&gt;H67,3,IF(K64&lt;H67,0,1)),"")</f>
        <v/>
      </c>
    </row>
    <row r="65" spans="1:32" x14ac:dyDescent="0.25">
      <c r="G65" t="e">
        <f t="shared" si="25"/>
        <v>#N/A</v>
      </c>
      <c r="H65" t="e">
        <f>VLOOKUP(H$56&amp;$G65,$A$5:$E$19,5,FALSE)</f>
        <v>#N/A</v>
      </c>
      <c r="I65" s="3"/>
      <c r="J65" t="e">
        <f>VLOOKUP($G65&amp;J$56,$A$5:$E$19,4,FALSE)</f>
        <v>#N/A</v>
      </c>
      <c r="K65" t="e">
        <f>VLOOKUP($G65&amp;K$56,$A$5:$E$19,4,FALSE)</f>
        <v>#N/A</v>
      </c>
      <c r="O65" t="e">
        <f>G65</f>
        <v>#N/A</v>
      </c>
      <c r="P65" t="str">
        <f>IF(AND(ISNUMBER(H65),ISNUMBER(I64)),IF(H65&gt;I64,3,IF(H65&lt;I64,0,1)),"")</f>
        <v/>
      </c>
      <c r="Q65" s="3"/>
      <c r="R65" t="str">
        <f>IF(AND(ISNUMBER(J65),ISNUMBER(I66)),IF(J65&gt;I66,3,IF(J65&lt;I66,0,1)),"")</f>
        <v/>
      </c>
      <c r="S65" t="str">
        <f>IF(AND(ISNUMBER(K65),ISNUMBER(I67)),IF(K65&gt;I67,3,IF(K65&lt;I67,0,1)),"")</f>
        <v/>
      </c>
    </row>
    <row r="66" spans="1:32" x14ac:dyDescent="0.25">
      <c r="G66" t="e">
        <f t="shared" si="25"/>
        <v>#N/A</v>
      </c>
      <c r="H66" t="e">
        <f>VLOOKUP(H$56&amp;$G66,$A$5:$E$19,5,FALSE)</f>
        <v>#N/A</v>
      </c>
      <c r="I66" t="e">
        <f>VLOOKUP(I$56&amp;$G66,$A$5:$E$19,5,FALSE)</f>
        <v>#N/A</v>
      </c>
      <c r="J66" s="3"/>
      <c r="K66" t="e">
        <f>VLOOKUP($G66&amp;K$56,$A$5:$E$19,4,FALSE)</f>
        <v>#N/A</v>
      </c>
      <c r="O66" t="e">
        <f>G66</f>
        <v>#N/A</v>
      </c>
      <c r="P66" t="str">
        <f>IF(AND(ISNUMBER(H66),ISNUMBER(J64)),IF(H66&gt;J64,3,IF(H66&lt;J64,0,1)),"")</f>
        <v/>
      </c>
      <c r="Q66" t="str">
        <f>IF(AND(ISNUMBER(I66),ISNUMBER(J65)),IF(I66&gt;J65,3,IF(I66&lt;J65,0,1)),"")</f>
        <v/>
      </c>
      <c r="R66" s="3"/>
      <c r="S66" t="str">
        <f>IF(AND(ISNUMBER(K66),ISNUMBER(J67)),IF(K66&gt;J67,3,IF(K66&lt;J67,0,1)),"")</f>
        <v/>
      </c>
    </row>
    <row r="67" spans="1:32" x14ac:dyDescent="0.25">
      <c r="G67" t="e">
        <f t="shared" si="25"/>
        <v>#N/A</v>
      </c>
      <c r="H67" t="e">
        <f>VLOOKUP(H$56&amp;$G67,$A$5:$E$19,5,FALSE)</f>
        <v>#N/A</v>
      </c>
      <c r="I67" t="e">
        <f>VLOOKUP(I$56&amp;$G67,$A$5:$E$19,5,FALSE)</f>
        <v>#N/A</v>
      </c>
      <c r="J67" t="e">
        <f>VLOOKUP(J$56&amp;$G67,$A$5:$E$19,5,FALSE)</f>
        <v>#N/A</v>
      </c>
      <c r="K67" s="3"/>
      <c r="O67" t="e">
        <f>G67</f>
        <v>#N/A</v>
      </c>
      <c r="P67" t="str">
        <f>IF(AND(ISNUMBER(H67),ISNUMBER(K64)),IF(H67&gt;K64,3,IF(H67&lt;K64,0,1)),"")</f>
        <v/>
      </c>
      <c r="Q67" t="str">
        <f>IF(AND(ISNUMBER(I67),ISNUMBER(K65)),IF(I67&gt;K65,3,IF(I67&lt;K65,0,1)),"")</f>
        <v/>
      </c>
      <c r="R67" t="str">
        <f>IF(AND(ISNUMBER(J67),ISNUMBER(K66)),IF(J67&gt;K66,3,IF(J67&lt;K66,0,1)),"")</f>
        <v/>
      </c>
      <c r="S67" s="3"/>
    </row>
    <row r="71" spans="1:32" x14ac:dyDescent="0.25">
      <c r="A71" s="141" t="s">
        <v>49</v>
      </c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</row>
    <row r="73" spans="1:32" x14ac:dyDescent="0.25">
      <c r="A73" t="e">
        <f>RANK(C73,$C$73:$C$77,1)</f>
        <v>#N/A</v>
      </c>
      <c r="B73">
        <f>Vergleich!C42</f>
        <v>0</v>
      </c>
      <c r="C73" t="e">
        <f>MATCH(B73,Spielplan!$B$124:$B$135,0)</f>
        <v>#N/A</v>
      </c>
      <c r="G73" s="142" t="s">
        <v>27</v>
      </c>
      <c r="H73" s="143" t="e">
        <f>G81</f>
        <v>#N/A</v>
      </c>
      <c r="I73" s="143" t="e">
        <f>G82</f>
        <v>#N/A</v>
      </c>
      <c r="J73" s="143" t="e">
        <f>G83</f>
        <v>#N/A</v>
      </c>
      <c r="K73" s="143" t="e">
        <f>G84</f>
        <v>#N/A</v>
      </c>
      <c r="L73" s="143" t="e">
        <f>G85</f>
        <v>#N/A</v>
      </c>
      <c r="O73" s="142" t="s">
        <v>26</v>
      </c>
      <c r="P73" s="143" t="e">
        <f>H73</f>
        <v>#N/A</v>
      </c>
      <c r="Q73" s="143" t="e">
        <f>I73</f>
        <v>#N/A</v>
      </c>
      <c r="R73" s="143" t="e">
        <f>J73</f>
        <v>#N/A</v>
      </c>
      <c r="S73" s="143" t="e">
        <f>K73</f>
        <v>#N/A</v>
      </c>
      <c r="T73" s="143" t="e">
        <f>L73</f>
        <v>#N/A</v>
      </c>
      <c r="Y73" s="2" t="s">
        <v>33</v>
      </c>
      <c r="Z73" s="2" t="s">
        <v>25</v>
      </c>
      <c r="AA73" s="2" t="s">
        <v>26</v>
      </c>
      <c r="AB73" s="2" t="s">
        <v>27</v>
      </c>
      <c r="AC73" s="2" t="s">
        <v>28</v>
      </c>
      <c r="AD73" s="2" t="s">
        <v>31</v>
      </c>
      <c r="AE73" s="2" t="s">
        <v>32</v>
      </c>
    </row>
    <row r="74" spans="1:32" x14ac:dyDescent="0.25">
      <c r="A74" t="e">
        <f>RANK(C74,$C$73:$C$77,1)</f>
        <v>#N/A</v>
      </c>
      <c r="B74">
        <f>Vergleich!C43</f>
        <v>0</v>
      </c>
      <c r="C74" t="e">
        <f>MATCH(B74,Spielplan!$B$124:$B$135,0)</f>
        <v>#N/A</v>
      </c>
      <c r="G74" s="142"/>
      <c r="H74" s="143"/>
      <c r="I74" s="143"/>
      <c r="J74" s="143"/>
      <c r="K74" s="143"/>
      <c r="L74" s="143"/>
      <c r="O74" s="142"/>
      <c r="P74" s="143"/>
      <c r="Q74" s="143"/>
      <c r="R74" s="143"/>
      <c r="S74" s="143"/>
      <c r="T74" s="143"/>
      <c r="W74" t="e">
        <f>RANK(X74,$X$74:$X$78)</f>
        <v>#N/A</v>
      </c>
      <c r="X74" t="e">
        <f>10000*AA74+100*AB74+AE74</f>
        <v>#N/A</v>
      </c>
      <c r="Y74" t="e">
        <f>B79</f>
        <v>#N/A</v>
      </c>
      <c r="Z74">
        <f>IF(COUNT($H81:$L81)=COUNT(H81:H85),COUNT($H81:$L81),"")</f>
        <v>0</v>
      </c>
      <c r="AA74">
        <f>SUM(P81:T81)</f>
        <v>0</v>
      </c>
      <c r="AB74" t="e">
        <f>SUM(H81:L81)</f>
        <v>#N/A</v>
      </c>
      <c r="AC74" t="e">
        <f>SUM(H81:H85)</f>
        <v>#N/A</v>
      </c>
      <c r="AD74" t="e">
        <f t="shared" ref="AD74:AD77" si="26">AB74-AC74</f>
        <v>#N/A</v>
      </c>
      <c r="AE74">
        <v>0.5</v>
      </c>
    </row>
    <row r="75" spans="1:32" x14ac:dyDescent="0.25">
      <c r="A75" t="e">
        <f>RANK(C75,$C$73:$C$77,1)</f>
        <v>#N/A</v>
      </c>
      <c r="B75">
        <f>Vergleich!C44</f>
        <v>0</v>
      </c>
      <c r="C75" t="e">
        <f>MATCH(B75,Spielplan!$B$124:$B$135,0)</f>
        <v>#N/A</v>
      </c>
      <c r="G75" s="142"/>
      <c r="H75" s="143"/>
      <c r="I75" s="143"/>
      <c r="J75" s="143"/>
      <c r="K75" s="143"/>
      <c r="L75" s="143"/>
      <c r="O75" s="142"/>
      <c r="P75" s="143"/>
      <c r="Q75" s="143"/>
      <c r="R75" s="143"/>
      <c r="S75" s="143"/>
      <c r="T75" s="143"/>
      <c r="W75" t="e">
        <f t="shared" ref="W75:W78" si="27">RANK(X75,$X$74:$X$78)</f>
        <v>#N/A</v>
      </c>
      <c r="X75" t="e">
        <f>10000*AA75+100*AB75+AE75</f>
        <v>#N/A</v>
      </c>
      <c r="Y75" t="e">
        <f>B80</f>
        <v>#N/A</v>
      </c>
      <c r="Z75">
        <f>IF(COUNT($H82:$L82)=COUNT(I81:I85),COUNT($H82:$L82),"")</f>
        <v>0</v>
      </c>
      <c r="AA75">
        <f>SUM(P82:T82)</f>
        <v>0</v>
      </c>
      <c r="AB75" t="e">
        <f>SUM(H82:L82)</f>
        <v>#N/A</v>
      </c>
      <c r="AC75" t="e">
        <f>SUM(I81:I85)</f>
        <v>#N/A</v>
      </c>
      <c r="AD75" t="e">
        <f t="shared" si="26"/>
        <v>#N/A</v>
      </c>
      <c r="AE75">
        <v>0.4</v>
      </c>
    </row>
    <row r="76" spans="1:32" x14ac:dyDescent="0.25">
      <c r="A76" t="e">
        <f>RANK(C76,$C$73:$C$77,1)</f>
        <v>#N/A</v>
      </c>
      <c r="B76">
        <f>Vergleich!C45</f>
        <v>0</v>
      </c>
      <c r="C76" t="e">
        <f>MATCH(B76,Spielplan!$B$124:$B$135,0)</f>
        <v>#N/A</v>
      </c>
      <c r="G76" s="142"/>
      <c r="H76" s="143"/>
      <c r="I76" s="143"/>
      <c r="J76" s="143"/>
      <c r="K76" s="143"/>
      <c r="L76" s="143"/>
      <c r="O76" s="142"/>
      <c r="P76" s="143"/>
      <c r="Q76" s="143"/>
      <c r="R76" s="143"/>
      <c r="S76" s="143"/>
      <c r="T76" s="143"/>
      <c r="W76" t="e">
        <f t="shared" si="27"/>
        <v>#N/A</v>
      </c>
      <c r="X76" t="e">
        <f>10000*AA76+100*AB76+AE76</f>
        <v>#N/A</v>
      </c>
      <c r="Y76" t="e">
        <f>B81</f>
        <v>#N/A</v>
      </c>
      <c r="Z76">
        <f>IF(COUNT($H83:$L83)=COUNT(J81:J85),COUNT($H83:$L83),"")</f>
        <v>0</v>
      </c>
      <c r="AA76">
        <f>SUM(P83:T83)</f>
        <v>0</v>
      </c>
      <c r="AB76" t="e">
        <f>SUM(H83:L83)</f>
        <v>#N/A</v>
      </c>
      <c r="AC76" t="e">
        <f>SUM(J81:J85)</f>
        <v>#N/A</v>
      </c>
      <c r="AD76" t="e">
        <f t="shared" si="26"/>
        <v>#N/A</v>
      </c>
      <c r="AE76">
        <v>0.3</v>
      </c>
    </row>
    <row r="77" spans="1:32" x14ac:dyDescent="0.25">
      <c r="A77" t="e">
        <f>RANK(C77,$C$73:$C$77,1)</f>
        <v>#N/A</v>
      </c>
      <c r="B77">
        <f>Vergleich!C46</f>
        <v>0</v>
      </c>
      <c r="C77" t="e">
        <f>MATCH(B77,Spielplan!$B$124:$B$135,0)</f>
        <v>#N/A</v>
      </c>
      <c r="G77" s="142"/>
      <c r="H77" s="143"/>
      <c r="I77" s="143"/>
      <c r="J77" s="143"/>
      <c r="K77" s="143"/>
      <c r="L77" s="143"/>
      <c r="O77" s="142"/>
      <c r="P77" s="143"/>
      <c r="Q77" s="143"/>
      <c r="R77" s="143"/>
      <c r="S77" s="143"/>
      <c r="T77" s="143"/>
      <c r="W77" t="e">
        <f t="shared" si="27"/>
        <v>#N/A</v>
      </c>
      <c r="X77" t="e">
        <f>10000*AA77+100*AB77+AE77</f>
        <v>#N/A</v>
      </c>
      <c r="Y77" t="e">
        <f>B82</f>
        <v>#N/A</v>
      </c>
      <c r="Z77">
        <f>IF(COUNT($H84:$L84)=COUNT(K81:K85),COUNT($H84:$L84),"")</f>
        <v>0</v>
      </c>
      <c r="AA77">
        <f>SUM(P84:T84)</f>
        <v>0</v>
      </c>
      <c r="AB77" t="e">
        <f>SUM(H84:L84)</f>
        <v>#N/A</v>
      </c>
      <c r="AC77" t="e">
        <f>SUM(K81:K85)</f>
        <v>#N/A</v>
      </c>
      <c r="AD77" t="e">
        <f t="shared" si="26"/>
        <v>#N/A</v>
      </c>
      <c r="AE77">
        <v>0.2</v>
      </c>
    </row>
    <row r="78" spans="1:32" x14ac:dyDescent="0.25">
      <c r="G78" s="142"/>
      <c r="H78" s="143"/>
      <c r="I78" s="143"/>
      <c r="J78" s="143"/>
      <c r="K78" s="143"/>
      <c r="L78" s="143"/>
      <c r="O78" s="142"/>
      <c r="P78" s="143"/>
      <c r="Q78" s="143"/>
      <c r="R78" s="143"/>
      <c r="S78" s="143"/>
      <c r="T78" s="143"/>
      <c r="W78" t="e">
        <f t="shared" si="27"/>
        <v>#N/A</v>
      </c>
      <c r="X78" t="e">
        <f>10000*AA78+100*AB78+AE78</f>
        <v>#N/A</v>
      </c>
      <c r="Y78" t="e">
        <f>B83</f>
        <v>#N/A</v>
      </c>
      <c r="Z78">
        <f>IF(COUNT($H85:$L85)=COUNT(L81:L85),COUNT($H85:$L85),"")</f>
        <v>0</v>
      </c>
      <c r="AA78">
        <f>SUM(P85:T85)</f>
        <v>0</v>
      </c>
      <c r="AB78" t="e">
        <f>SUM(H85:L85)</f>
        <v>#N/A</v>
      </c>
      <c r="AC78" t="e">
        <f>SUM(L81:L85)</f>
        <v>#N/A</v>
      </c>
      <c r="AD78" t="e">
        <f t="shared" ref="AD78" si="28">AB78-AC78</f>
        <v>#N/A</v>
      </c>
      <c r="AE78">
        <v>0.1</v>
      </c>
    </row>
    <row r="79" spans="1:32" x14ac:dyDescent="0.25">
      <c r="A79">
        <v>1</v>
      </c>
      <c r="B79" t="e">
        <f>VLOOKUP(A79,$A$73:$C$77,2,FALSE)</f>
        <v>#N/A</v>
      </c>
      <c r="G79" s="142"/>
      <c r="H79" s="143"/>
      <c r="I79" s="143"/>
      <c r="J79" s="143"/>
      <c r="K79" s="143"/>
      <c r="L79" s="143"/>
      <c r="O79" s="142"/>
      <c r="P79" s="143"/>
      <c r="Q79" s="143"/>
      <c r="R79" s="143"/>
      <c r="S79" s="143"/>
      <c r="T79" s="143"/>
    </row>
    <row r="80" spans="1:32" x14ac:dyDescent="0.25">
      <c r="A80">
        <v>2</v>
      </c>
      <c r="B80" t="e">
        <f>VLOOKUP(A80,$A$73:$C$77,2,FALSE)</f>
        <v>#N/A</v>
      </c>
      <c r="G80" s="142"/>
      <c r="H80" s="143"/>
      <c r="I80" s="143"/>
      <c r="J80" s="143"/>
      <c r="K80" s="143"/>
      <c r="L80" s="143"/>
      <c r="O80" s="142"/>
      <c r="P80" s="143"/>
      <c r="Q80" s="143"/>
      <c r="R80" s="143"/>
      <c r="S80" s="143"/>
      <c r="T80" s="143"/>
    </row>
    <row r="81" spans="1:20" x14ac:dyDescent="0.25">
      <c r="A81">
        <v>3</v>
      </c>
      <c r="B81" t="e">
        <f t="shared" ref="B81:B83" si="29">VLOOKUP(A81,$A$73:$C$77,2,FALSE)</f>
        <v>#N/A</v>
      </c>
      <c r="G81" t="e">
        <f t="shared" ref="G81:G85" si="30">B79</f>
        <v>#N/A</v>
      </c>
      <c r="H81" s="3"/>
      <c r="I81" t="e">
        <f>VLOOKUP($G81&amp;I$73,$A$5:$E$19,4,FALSE)</f>
        <v>#N/A</v>
      </c>
      <c r="J81" t="e">
        <f>VLOOKUP($G81&amp;J$73,$A$5:$E$19,4,FALSE)</f>
        <v>#N/A</v>
      </c>
      <c r="K81" t="e">
        <f>VLOOKUP($G81&amp;K$73,$A$5:$E$19,4,FALSE)</f>
        <v>#N/A</v>
      </c>
      <c r="L81" t="e">
        <f>VLOOKUP($G81&amp;L$73,$A$5:$E$19,4,FALSE)</f>
        <v>#N/A</v>
      </c>
      <c r="O81" t="e">
        <f>G81</f>
        <v>#N/A</v>
      </c>
      <c r="P81" s="3"/>
      <c r="Q81" t="str">
        <f>IF(AND(ISNUMBER(I81),ISNUMBER(H82)),IF(I81&gt;H82,3,IF(I81&lt;H82,0,1)),"")</f>
        <v/>
      </c>
      <c r="R81" t="str">
        <f>IF(AND(ISNUMBER(J81),ISNUMBER(H83)),IF(J81&gt;H83,3,IF(J81&lt;H83,0,1)),"")</f>
        <v/>
      </c>
      <c r="S81" t="str">
        <f>IF(AND(ISNUMBER(K81),ISNUMBER(H84)),IF(K81&gt;H84,3,IF(K81&lt;H84,0,1)),"")</f>
        <v/>
      </c>
      <c r="T81" t="str">
        <f>IF(AND(ISNUMBER(L81),ISNUMBER(H85)),IF(L81&gt;H85,3,IF(L81&lt;H85,0,1)),"")</f>
        <v/>
      </c>
    </row>
    <row r="82" spans="1:20" x14ac:dyDescent="0.25">
      <c r="A82">
        <v>4</v>
      </c>
      <c r="B82" t="e">
        <f t="shared" si="29"/>
        <v>#N/A</v>
      </c>
      <c r="G82" t="e">
        <f t="shared" si="30"/>
        <v>#N/A</v>
      </c>
      <c r="H82" t="e">
        <f>VLOOKUP(H$73&amp;$G82,$A$5:$E$19,5,FALSE)</f>
        <v>#N/A</v>
      </c>
      <c r="I82" s="3"/>
      <c r="J82" t="e">
        <f>VLOOKUP($G82&amp;J$73,$A$5:$E$19,4,FALSE)</f>
        <v>#N/A</v>
      </c>
      <c r="K82" t="e">
        <f>VLOOKUP($G82&amp;K$73,$A$5:$E$19,4,FALSE)</f>
        <v>#N/A</v>
      </c>
      <c r="L82" t="e">
        <f>VLOOKUP($G82&amp;L$73,$A$5:$E$19,4,FALSE)</f>
        <v>#N/A</v>
      </c>
      <c r="O82" t="e">
        <f>G82</f>
        <v>#N/A</v>
      </c>
      <c r="P82" t="str">
        <f>IF(AND(ISNUMBER(H82),ISNUMBER(I81)),IF(H82&gt;I81,3,IF(H82&lt;I81,0,1)),"")</f>
        <v/>
      </c>
      <c r="Q82" s="3"/>
      <c r="R82" t="str">
        <f>IF(AND(ISNUMBER(J82),ISNUMBER(I83)),IF(J82&gt;I83,3,IF(J82&lt;I83,0,1)),"")</f>
        <v/>
      </c>
      <c r="S82" t="str">
        <f>IF(AND(ISNUMBER(K82),ISNUMBER(I84)),IF(K82&gt;I84,3,IF(K82&lt;I84,0,1)),"")</f>
        <v/>
      </c>
      <c r="T82" t="str">
        <f>IF(AND(ISNUMBER(L82),ISNUMBER(I85)),IF(L82&gt;I85,3,IF(L82&lt;I85,0,1)),"")</f>
        <v/>
      </c>
    </row>
    <row r="83" spans="1:20" x14ac:dyDescent="0.25">
      <c r="A83">
        <v>5</v>
      </c>
      <c r="B83" t="e">
        <f t="shared" si="29"/>
        <v>#N/A</v>
      </c>
      <c r="G83" t="e">
        <f t="shared" si="30"/>
        <v>#N/A</v>
      </c>
      <c r="H83" t="e">
        <f>VLOOKUP(H$73&amp;$G83,$A$5:$E$19,5,FALSE)</f>
        <v>#N/A</v>
      </c>
      <c r="I83" t="e">
        <f>VLOOKUP(I$73&amp;$G83,$A$5:$E$19,5,FALSE)</f>
        <v>#N/A</v>
      </c>
      <c r="J83" s="3"/>
      <c r="K83" t="e">
        <f>VLOOKUP($G83&amp;K$73,$A$5:$E$19,4,FALSE)</f>
        <v>#N/A</v>
      </c>
      <c r="L83" t="e">
        <f>VLOOKUP($G83&amp;L$73,$A$5:$E$19,4,FALSE)</f>
        <v>#N/A</v>
      </c>
      <c r="O83" t="e">
        <f>G83</f>
        <v>#N/A</v>
      </c>
      <c r="P83" t="str">
        <f>IF(AND(ISNUMBER(H83),ISNUMBER(J81)),IF(H83&gt;J81,3,IF(H83&lt;J81,0,1)),"")</f>
        <v/>
      </c>
      <c r="Q83" t="str">
        <f>IF(AND(ISNUMBER(I83),ISNUMBER(J82)),IF(I83&gt;J82,3,IF(I83&lt;J82,0,1)),"")</f>
        <v/>
      </c>
      <c r="R83" s="3"/>
      <c r="S83" t="str">
        <f>IF(AND(ISNUMBER(K83),ISNUMBER(J84)),IF(K83&gt;J84,3,IF(K83&lt;J84,0,1)),"")</f>
        <v/>
      </c>
      <c r="T83" t="str">
        <f>IF(AND(ISNUMBER(L83),ISNUMBER(J85)),IF(L83&gt;J85,3,IF(L83&lt;J85,0,1)),"")</f>
        <v/>
      </c>
    </row>
    <row r="84" spans="1:20" x14ac:dyDescent="0.25">
      <c r="G84" t="e">
        <f t="shared" si="30"/>
        <v>#N/A</v>
      </c>
      <c r="H84" t="e">
        <f>VLOOKUP(H$73&amp;$G84,$A$5:$E$19,5,FALSE)</f>
        <v>#N/A</v>
      </c>
      <c r="I84" t="e">
        <f>VLOOKUP(I$73&amp;$G84,$A$5:$E$19,5,FALSE)</f>
        <v>#N/A</v>
      </c>
      <c r="J84" t="e">
        <f>VLOOKUP(J$73&amp;$G84,$A$5:$E$19,5,FALSE)</f>
        <v>#N/A</v>
      </c>
      <c r="K84" s="3"/>
      <c r="L84" t="e">
        <f>VLOOKUP($G84&amp;L$73,$A$5:$E$19,4,FALSE)</f>
        <v>#N/A</v>
      </c>
      <c r="O84" t="e">
        <f>G84</f>
        <v>#N/A</v>
      </c>
      <c r="P84" t="str">
        <f>IF(AND(ISNUMBER(H84),ISNUMBER(K81)),IF(H84&gt;K81,3,IF(H84&lt;K81,0,1)),"")</f>
        <v/>
      </c>
      <c r="Q84" t="str">
        <f>IF(AND(ISNUMBER(I84),ISNUMBER(K82)),IF(I84&gt;K82,3,IF(I84&lt;K82,0,1)),"")</f>
        <v/>
      </c>
      <c r="R84" t="str">
        <f>IF(AND(ISNUMBER(J84),ISNUMBER(K83)),IF(J84&gt;K83,3,IF(J84&lt;K83,0,1)),"")</f>
        <v/>
      </c>
      <c r="S84" s="3"/>
      <c r="T84" t="str">
        <f>IF(AND(ISNUMBER(L84),ISNUMBER(K85)),IF(L84&gt;K85,3,IF(L84&lt;K85,0,1)),"")</f>
        <v/>
      </c>
    </row>
    <row r="85" spans="1:20" x14ac:dyDescent="0.25">
      <c r="G85" t="e">
        <f t="shared" si="30"/>
        <v>#N/A</v>
      </c>
      <c r="H85" t="e">
        <f>VLOOKUP(H$73&amp;$G85,$A$5:$E$19,5,FALSE)</f>
        <v>#N/A</v>
      </c>
      <c r="I85" t="e">
        <f>VLOOKUP(I$73&amp;$G85,$A$5:$E$19,5,FALSE)</f>
        <v>#N/A</v>
      </c>
      <c r="J85" t="e">
        <f>VLOOKUP(J$73&amp;$G85,$A$5:$E$19,5,FALSE)</f>
        <v>#N/A</v>
      </c>
      <c r="K85" t="e">
        <f>VLOOKUP(K$73&amp;$G85,$A$5:$E$19,5,FALSE)</f>
        <v>#N/A</v>
      </c>
      <c r="L85" s="3"/>
      <c r="O85" t="e">
        <f>G85</f>
        <v>#N/A</v>
      </c>
      <c r="P85" t="str">
        <f>IF(AND(ISNUMBER(H85),ISNUMBER(L81)),IF(H85&gt;L81,3,IF(H85&lt;L81,0,1)),"")</f>
        <v/>
      </c>
      <c r="Q85" t="str">
        <f>IF(AND(ISNUMBER(I85),ISNUMBER(L82)),IF(I85&gt;L82,3,IF(I85&lt;L82,0,1)),"")</f>
        <v/>
      </c>
      <c r="R85" t="str">
        <f>IF(AND(ISNUMBER(J85),ISNUMBER(L83)),IF(J85&gt;L83,3,IF(J85&lt;L83,0,1)),"")</f>
        <v/>
      </c>
      <c r="S85" t="str">
        <f>IF(AND(ISNUMBER(K85),ISNUMBER(L84)),IF(K85&gt;L84,3,IF(K85&lt;L84,0,1)),"")</f>
        <v/>
      </c>
      <c r="T85" s="3"/>
    </row>
  </sheetData>
  <mergeCells count="74">
    <mergeCell ref="BA5:BA12"/>
    <mergeCell ref="A3:AF3"/>
    <mergeCell ref="AG3:BN3"/>
    <mergeCell ref="AJ4:AK4"/>
    <mergeCell ref="AM5:AM12"/>
    <mergeCell ref="AN5:AN12"/>
    <mergeCell ref="AO5:AO12"/>
    <mergeCell ref="AP5:AP12"/>
    <mergeCell ref="AQ5:AQ12"/>
    <mergeCell ref="AR5:AR12"/>
    <mergeCell ref="AS5:AS12"/>
    <mergeCell ref="AU5:AU12"/>
    <mergeCell ref="AV5:AV12"/>
    <mergeCell ref="AW5:AW12"/>
    <mergeCell ref="AX5:AX12"/>
    <mergeCell ref="AY5:AY12"/>
    <mergeCell ref="H25:H32"/>
    <mergeCell ref="AZ5:AZ12"/>
    <mergeCell ref="U5:U12"/>
    <mergeCell ref="G5:G12"/>
    <mergeCell ref="O5:O12"/>
    <mergeCell ref="H5:H12"/>
    <mergeCell ref="I5:I12"/>
    <mergeCell ref="I25:I32"/>
    <mergeCell ref="O25:O32"/>
    <mergeCell ref="P25:P32"/>
    <mergeCell ref="R40:R47"/>
    <mergeCell ref="Q25:Q32"/>
    <mergeCell ref="A2:AF2"/>
    <mergeCell ref="L5:L12"/>
    <mergeCell ref="M5:M12"/>
    <mergeCell ref="T5:T12"/>
    <mergeCell ref="D4:E4"/>
    <mergeCell ref="J5:J12"/>
    <mergeCell ref="K5:K12"/>
    <mergeCell ref="P5:P12"/>
    <mergeCell ref="Q5:Q12"/>
    <mergeCell ref="R5:R12"/>
    <mergeCell ref="S5:S12"/>
    <mergeCell ref="A22:AF22"/>
    <mergeCell ref="A23:AF23"/>
    <mergeCell ref="G25:G32"/>
    <mergeCell ref="H40:H47"/>
    <mergeCell ref="I40:I47"/>
    <mergeCell ref="O40:O47"/>
    <mergeCell ref="P40:P47"/>
    <mergeCell ref="Q40:Q47"/>
    <mergeCell ref="J40:J47"/>
    <mergeCell ref="O56:O63"/>
    <mergeCell ref="P56:P63"/>
    <mergeCell ref="Q56:Q63"/>
    <mergeCell ref="R56:R63"/>
    <mergeCell ref="S56:S63"/>
    <mergeCell ref="G56:G63"/>
    <mergeCell ref="H56:H63"/>
    <mergeCell ref="I56:I63"/>
    <mergeCell ref="J56:J63"/>
    <mergeCell ref="K56:K63"/>
    <mergeCell ref="A38:AF38"/>
    <mergeCell ref="G40:G47"/>
    <mergeCell ref="A71:AF71"/>
    <mergeCell ref="G73:G80"/>
    <mergeCell ref="H73:H80"/>
    <mergeCell ref="I73:I80"/>
    <mergeCell ref="J73:J80"/>
    <mergeCell ref="K73:K80"/>
    <mergeCell ref="L73:L80"/>
    <mergeCell ref="O73:O80"/>
    <mergeCell ref="P73:P80"/>
    <mergeCell ref="Q73:Q80"/>
    <mergeCell ref="R73:R80"/>
    <mergeCell ref="S73:S80"/>
    <mergeCell ref="T73:T80"/>
    <mergeCell ref="A54:AF54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97E8-1306-4A2B-A14F-A540BA2DF863}">
  <dimension ref="A2:AF104"/>
  <sheetViews>
    <sheetView topLeftCell="B1" workbookViewId="0">
      <selection activeCell="W30" sqref="W30"/>
    </sheetView>
  </sheetViews>
  <sheetFormatPr baseColWidth="10" defaultRowHeight="15" x14ac:dyDescent="0.25"/>
  <cols>
    <col min="1" max="1" width="46.42578125" bestFit="1" customWidth="1"/>
    <col min="2" max="3" width="24.5703125" bestFit="1" customWidth="1"/>
    <col min="4" max="5" width="4.5703125" customWidth="1"/>
    <col min="6" max="6" width="5" customWidth="1"/>
    <col min="7" max="7" width="25.7109375" customWidth="1"/>
    <col min="8" max="9" width="3.7109375" customWidth="1"/>
    <col min="10" max="12" width="3.7109375" bestFit="1" customWidth="1"/>
    <col min="13" max="13" width="3.7109375" customWidth="1"/>
    <col min="14" max="14" width="6.7109375" customWidth="1"/>
    <col min="15" max="15" width="25.7109375" customWidth="1"/>
    <col min="16" max="21" width="3.7109375" customWidth="1"/>
    <col min="22" max="22" width="6.7109375" customWidth="1"/>
    <col min="23" max="23" width="5.7109375" customWidth="1"/>
    <col min="25" max="25" width="25.7109375" customWidth="1"/>
  </cols>
  <sheetData>
    <row r="2" spans="1:32" x14ac:dyDescent="0.25">
      <c r="A2" s="144" t="s">
        <v>1</v>
      </c>
      <c r="B2" s="144"/>
      <c r="C2" s="144"/>
      <c r="D2" s="144"/>
      <c r="E2" s="144"/>
      <c r="F2" s="144"/>
      <c r="G2" s="144"/>
      <c r="H2" s="144"/>
      <c r="I2" s="144"/>
      <c r="J2" s="144"/>
      <c r="K2" s="144"/>
      <c r="L2" s="144"/>
      <c r="M2" s="144"/>
      <c r="N2" s="144"/>
      <c r="O2" s="144"/>
      <c r="P2" s="144"/>
      <c r="Q2" s="144"/>
      <c r="R2" s="144"/>
      <c r="S2" s="144"/>
      <c r="T2" s="144"/>
      <c r="U2" s="144"/>
      <c r="V2" s="144"/>
      <c r="W2" s="144"/>
      <c r="X2" s="144"/>
      <c r="Y2" s="144"/>
      <c r="Z2" s="144"/>
      <c r="AA2" s="144"/>
      <c r="AB2" s="144"/>
      <c r="AC2" s="144"/>
      <c r="AD2" s="144"/>
      <c r="AE2" s="144"/>
      <c r="AF2" s="144"/>
    </row>
    <row r="3" spans="1:32" x14ac:dyDescent="0.25">
      <c r="A3" s="141" t="s">
        <v>2</v>
      </c>
      <c r="B3" s="141"/>
      <c r="C3" s="141"/>
      <c r="D3" s="141"/>
      <c r="E3" s="141"/>
      <c r="F3" s="141"/>
      <c r="G3" s="141"/>
      <c r="H3" s="141"/>
      <c r="I3" s="141"/>
      <c r="J3" s="141"/>
      <c r="K3" s="141"/>
      <c r="L3" s="141"/>
      <c r="M3" s="141"/>
      <c r="N3" s="141"/>
      <c r="O3" s="141"/>
      <c r="P3" s="141"/>
      <c r="Q3" s="141"/>
      <c r="R3" s="141"/>
      <c r="S3" s="141"/>
      <c r="T3" s="141"/>
      <c r="U3" s="141"/>
      <c r="V3" s="141"/>
      <c r="W3" s="141"/>
      <c r="X3" s="141"/>
      <c r="Y3" s="141"/>
      <c r="Z3" s="141"/>
      <c r="AA3" s="141"/>
      <c r="AB3" s="141"/>
      <c r="AC3" s="141"/>
      <c r="AD3" s="141"/>
      <c r="AE3" s="141"/>
      <c r="AF3" s="141"/>
    </row>
    <row r="4" spans="1:32" x14ac:dyDescent="0.25">
      <c r="B4" t="s">
        <v>29</v>
      </c>
      <c r="C4" t="s">
        <v>30</v>
      </c>
      <c r="D4" s="145" t="s">
        <v>3</v>
      </c>
      <c r="E4" s="145"/>
    </row>
    <row r="5" spans="1:32" ht="15" customHeight="1" x14ac:dyDescent="0.25">
      <c r="A5" t="str">
        <f>B5&amp;C5</f>
        <v>DampfnudelMUH-Bande Jena</v>
      </c>
      <c r="B5" t="str">
        <f>Tippspiel!F16</f>
        <v>Dampfnudel</v>
      </c>
      <c r="C5" t="str">
        <f>Tippspiel!K16</f>
        <v>MUH-Bande Jena</v>
      </c>
      <c r="D5" t="str">
        <f>IF(ISNUMBER(Tippspiel!M16),Tippspiel!M16,"")</f>
        <v/>
      </c>
      <c r="E5" t="str">
        <f>IF(ISNUMBER(Tippspiel!O16),Tippspiel!O16,"")</f>
        <v/>
      </c>
      <c r="G5" s="142" t="s">
        <v>27</v>
      </c>
      <c r="H5" s="143" t="str">
        <f>G13</f>
        <v>BTC Heisse Reifen</v>
      </c>
      <c r="I5" s="143" t="str">
        <f>G14</f>
        <v>Hockey Hawks</v>
      </c>
      <c r="J5" s="143" t="str">
        <f>G15</f>
        <v>Dampfnudel</v>
      </c>
      <c r="K5" s="143" t="str">
        <f>G16</f>
        <v>FunPowerTeam</v>
      </c>
      <c r="L5" s="143" t="str">
        <f>G17</f>
        <v>Einradhockey Elmshorn</v>
      </c>
      <c r="M5" s="143" t="str">
        <f>G18</f>
        <v>MUH-Bande Jena</v>
      </c>
      <c r="O5" s="142" t="s">
        <v>26</v>
      </c>
      <c r="P5" s="143" t="str">
        <f>O13</f>
        <v>BTC Heisse Reifen</v>
      </c>
      <c r="Q5" s="143" t="str">
        <f>O14</f>
        <v>Hockey Hawks</v>
      </c>
      <c r="R5" s="143" t="str">
        <f>O15</f>
        <v>Dampfnudel</v>
      </c>
      <c r="S5" s="143" t="str">
        <f>O16</f>
        <v>FunPowerTeam</v>
      </c>
      <c r="T5" s="143" t="str">
        <f>O17</f>
        <v>Einradhockey Elmshorn</v>
      </c>
      <c r="U5" s="143" t="str">
        <f>O18</f>
        <v>MUH-Bande Jena</v>
      </c>
      <c r="Y5" s="2" t="s">
        <v>33</v>
      </c>
      <c r="Z5" s="2" t="s">
        <v>25</v>
      </c>
      <c r="AA5" s="2" t="s">
        <v>26</v>
      </c>
      <c r="AB5" s="2" t="s">
        <v>27</v>
      </c>
      <c r="AC5" s="2" t="s">
        <v>28</v>
      </c>
      <c r="AD5" s="2" t="s">
        <v>31</v>
      </c>
      <c r="AE5" s="2" t="s">
        <v>32</v>
      </c>
    </row>
    <row r="6" spans="1:32" x14ac:dyDescent="0.25">
      <c r="A6" t="str">
        <f t="shared" ref="A6:A19" si="0">B6&amp;C6</f>
        <v>Hockey HawksEinradhockey Elmshorn</v>
      </c>
      <c r="B6" t="str">
        <f>Tippspiel!F17</f>
        <v>Hockey Hawks</v>
      </c>
      <c r="C6" t="str">
        <f>Tippspiel!K17</f>
        <v>Einradhockey Elmshorn</v>
      </c>
      <c r="D6" t="str">
        <f>IF(ISNUMBER(Tippspiel!M17),Tippspiel!M17,"")</f>
        <v/>
      </c>
      <c r="E6" t="str">
        <f>IF(ISNUMBER(Tippspiel!O17),Tippspiel!O17,"")</f>
        <v/>
      </c>
      <c r="G6" s="142"/>
      <c r="H6" s="143"/>
      <c r="I6" s="143"/>
      <c r="J6" s="143"/>
      <c r="K6" s="143"/>
      <c r="L6" s="143"/>
      <c r="M6" s="143"/>
      <c r="O6" s="142"/>
      <c r="P6" s="143"/>
      <c r="Q6" s="143"/>
      <c r="R6" s="143"/>
      <c r="S6" s="143"/>
      <c r="T6" s="143"/>
      <c r="U6" s="143"/>
      <c r="W6">
        <f>RANK(X6,$X$6:$X$11)</f>
        <v>1</v>
      </c>
      <c r="X6">
        <f t="shared" ref="X6:X11" si="1">10000*AA6+100*AB6+AE6</f>
        <v>0.6</v>
      </c>
      <c r="Y6" t="str">
        <f t="shared" ref="Y6:Y11" si="2">G13</f>
        <v>BTC Heisse Reifen</v>
      </c>
      <c r="Z6">
        <f>IF(COUNT(H13:M13)=COUNT(H13:H18),COUNT(H13:M13),"")</f>
        <v>0</v>
      </c>
      <c r="AA6">
        <f t="shared" ref="AA6:AA11" si="3">SUM(P13:U13)</f>
        <v>0</v>
      </c>
      <c r="AB6">
        <f t="shared" ref="AB6:AB11" si="4">SUM(H13:M13)</f>
        <v>0</v>
      </c>
      <c r="AC6">
        <f>SUM(H13:H18)</f>
        <v>0</v>
      </c>
      <c r="AD6">
        <f>AB6-AC6</f>
        <v>0</v>
      </c>
      <c r="AE6">
        <v>0.6</v>
      </c>
    </row>
    <row r="7" spans="1:32" x14ac:dyDescent="0.25">
      <c r="A7" t="str">
        <f t="shared" si="0"/>
        <v>BTC Heisse ReifenFunPowerTeam</v>
      </c>
      <c r="B7" t="str">
        <f>Tippspiel!F18</f>
        <v>BTC Heisse Reifen</v>
      </c>
      <c r="C7" t="str">
        <f>Tippspiel!K18</f>
        <v>FunPowerTeam</v>
      </c>
      <c r="D7" t="str">
        <f>IF(ISNUMBER(Tippspiel!M18),Tippspiel!M18,"")</f>
        <v/>
      </c>
      <c r="E7" t="str">
        <f>IF(ISNUMBER(Tippspiel!O18),Tippspiel!O18,"")</f>
        <v/>
      </c>
      <c r="G7" s="142"/>
      <c r="H7" s="143"/>
      <c r="I7" s="143"/>
      <c r="J7" s="143"/>
      <c r="K7" s="143"/>
      <c r="L7" s="143"/>
      <c r="M7" s="143"/>
      <c r="O7" s="142"/>
      <c r="P7" s="143"/>
      <c r="Q7" s="143"/>
      <c r="R7" s="143"/>
      <c r="S7" s="143"/>
      <c r="T7" s="143"/>
      <c r="U7" s="143"/>
      <c r="W7">
        <f t="shared" ref="W7:W11" si="5">RANK(X7,$X$6:$X$11)</f>
        <v>2</v>
      </c>
      <c r="X7">
        <f t="shared" si="1"/>
        <v>0.5</v>
      </c>
      <c r="Y7" t="str">
        <f t="shared" si="2"/>
        <v>Hockey Hawks</v>
      </c>
      <c r="Z7">
        <f>IF(COUNT(H14:M14)=COUNT(I13:I18),COUNT(H14:M14),"")</f>
        <v>0</v>
      </c>
      <c r="AA7">
        <f t="shared" si="3"/>
        <v>0</v>
      </c>
      <c r="AB7">
        <f t="shared" si="4"/>
        <v>0</v>
      </c>
      <c r="AC7">
        <f>SUM(I13:I18)</f>
        <v>0</v>
      </c>
      <c r="AD7">
        <f t="shared" ref="AD7:AD11" si="6">AB7-AC7</f>
        <v>0</v>
      </c>
      <c r="AE7">
        <v>0.5</v>
      </c>
    </row>
    <row r="8" spans="1:32" x14ac:dyDescent="0.25">
      <c r="A8" t="str">
        <f t="shared" si="0"/>
        <v>Hockey HawksDampfnudel</v>
      </c>
      <c r="B8" t="str">
        <f>Tippspiel!F19</f>
        <v>Hockey Hawks</v>
      </c>
      <c r="C8" t="str">
        <f>Tippspiel!K19</f>
        <v>Dampfnudel</v>
      </c>
      <c r="D8" t="str">
        <f>IF(ISNUMBER(Tippspiel!M19),Tippspiel!M19,"")</f>
        <v/>
      </c>
      <c r="E8" t="str">
        <f>IF(ISNUMBER(Tippspiel!O19),Tippspiel!O19,"")</f>
        <v/>
      </c>
      <c r="G8" s="142"/>
      <c r="H8" s="143"/>
      <c r="I8" s="143"/>
      <c r="J8" s="143"/>
      <c r="K8" s="143"/>
      <c r="L8" s="143"/>
      <c r="M8" s="143"/>
      <c r="O8" s="142"/>
      <c r="P8" s="143"/>
      <c r="Q8" s="143"/>
      <c r="R8" s="143"/>
      <c r="S8" s="143"/>
      <c r="T8" s="143"/>
      <c r="U8" s="143"/>
      <c r="W8">
        <f t="shared" si="5"/>
        <v>3</v>
      </c>
      <c r="X8">
        <f t="shared" si="1"/>
        <v>0.4</v>
      </c>
      <c r="Y8" t="str">
        <f t="shared" si="2"/>
        <v>Dampfnudel</v>
      </c>
      <c r="Z8">
        <f>IF(COUNT(H15:M15)=COUNT(J13:J18),COUNT(H15:M15),"")</f>
        <v>0</v>
      </c>
      <c r="AA8">
        <f t="shared" si="3"/>
        <v>0</v>
      </c>
      <c r="AB8">
        <f t="shared" si="4"/>
        <v>0</v>
      </c>
      <c r="AC8">
        <f>SUM(J13:J18)</f>
        <v>0</v>
      </c>
      <c r="AD8">
        <f t="shared" si="6"/>
        <v>0</v>
      </c>
      <c r="AE8">
        <v>0.4</v>
      </c>
    </row>
    <row r="9" spans="1:32" x14ac:dyDescent="0.25">
      <c r="A9" t="str">
        <f t="shared" si="0"/>
        <v>FunPowerTeamMUH-Bande Jena</v>
      </c>
      <c r="B9" t="str">
        <f>Tippspiel!F20</f>
        <v>FunPowerTeam</v>
      </c>
      <c r="C9" t="str">
        <f>Tippspiel!K20</f>
        <v>MUH-Bande Jena</v>
      </c>
      <c r="D9" t="str">
        <f>IF(ISNUMBER(Tippspiel!M20),Tippspiel!M20,"")</f>
        <v/>
      </c>
      <c r="E9" t="str">
        <f>IF(ISNUMBER(Tippspiel!O20),Tippspiel!O20,"")</f>
        <v/>
      </c>
      <c r="G9" s="142"/>
      <c r="H9" s="143"/>
      <c r="I9" s="143"/>
      <c r="J9" s="143"/>
      <c r="K9" s="143"/>
      <c r="L9" s="143"/>
      <c r="M9" s="143"/>
      <c r="O9" s="142"/>
      <c r="P9" s="143"/>
      <c r="Q9" s="143"/>
      <c r="R9" s="143"/>
      <c r="S9" s="143"/>
      <c r="T9" s="143"/>
      <c r="U9" s="143"/>
      <c r="W9">
        <f t="shared" si="5"/>
        <v>4</v>
      </c>
      <c r="X9">
        <f t="shared" si="1"/>
        <v>0.3</v>
      </c>
      <c r="Y9" t="str">
        <f t="shared" si="2"/>
        <v>FunPowerTeam</v>
      </c>
      <c r="Z9">
        <f>IF(COUNT(H16:M16)=COUNT(K13:K18),COUNT(H16:M16),"")</f>
        <v>0</v>
      </c>
      <c r="AA9">
        <f t="shared" si="3"/>
        <v>0</v>
      </c>
      <c r="AB9">
        <f t="shared" si="4"/>
        <v>0</v>
      </c>
      <c r="AC9">
        <f>SUM(K13:K18)</f>
        <v>0</v>
      </c>
      <c r="AD9">
        <f t="shared" si="6"/>
        <v>0</v>
      </c>
      <c r="AE9">
        <v>0.3</v>
      </c>
    </row>
    <row r="10" spans="1:32" x14ac:dyDescent="0.25">
      <c r="A10" t="str">
        <f t="shared" si="0"/>
        <v>BTC Heisse ReifenEinradhockey Elmshorn</v>
      </c>
      <c r="B10" t="str">
        <f>Tippspiel!F21</f>
        <v>BTC Heisse Reifen</v>
      </c>
      <c r="C10" t="str">
        <f>Tippspiel!K21</f>
        <v>Einradhockey Elmshorn</v>
      </c>
      <c r="D10" t="str">
        <f>IF(ISNUMBER(Tippspiel!M21),Tippspiel!M21,"")</f>
        <v/>
      </c>
      <c r="E10" t="str">
        <f>IF(ISNUMBER(Tippspiel!O21),Tippspiel!O21,"")</f>
        <v/>
      </c>
      <c r="G10" s="142"/>
      <c r="H10" s="143"/>
      <c r="I10" s="143"/>
      <c r="J10" s="143"/>
      <c r="K10" s="143"/>
      <c r="L10" s="143"/>
      <c r="M10" s="143"/>
      <c r="O10" s="142"/>
      <c r="P10" s="143"/>
      <c r="Q10" s="143"/>
      <c r="R10" s="143"/>
      <c r="S10" s="143"/>
      <c r="T10" s="143"/>
      <c r="U10" s="143"/>
      <c r="W10">
        <f t="shared" si="5"/>
        <v>5</v>
      </c>
      <c r="X10">
        <f t="shared" si="1"/>
        <v>0.2</v>
      </c>
      <c r="Y10" t="str">
        <f t="shared" si="2"/>
        <v>Einradhockey Elmshorn</v>
      </c>
      <c r="Z10">
        <f>IF(COUNT(H17:M17)=COUNT(L13:L18),COUNT(H17:M17),"")</f>
        <v>0</v>
      </c>
      <c r="AA10">
        <f t="shared" si="3"/>
        <v>0</v>
      </c>
      <c r="AB10">
        <f t="shared" si="4"/>
        <v>0</v>
      </c>
      <c r="AC10">
        <f>SUM(L13:L18)</f>
        <v>0</v>
      </c>
      <c r="AD10">
        <f t="shared" si="6"/>
        <v>0</v>
      </c>
      <c r="AE10">
        <v>0.2</v>
      </c>
    </row>
    <row r="11" spans="1:32" x14ac:dyDescent="0.25">
      <c r="A11" t="str">
        <f t="shared" si="0"/>
        <v>Hockey HawksFunPowerTeam</v>
      </c>
      <c r="B11" t="str">
        <f>Tippspiel!F22</f>
        <v>Hockey Hawks</v>
      </c>
      <c r="C11" t="str">
        <f>Tippspiel!K22</f>
        <v>FunPowerTeam</v>
      </c>
      <c r="D11" t="str">
        <f>IF(ISNUMBER(Tippspiel!M22),Tippspiel!M22,"")</f>
        <v/>
      </c>
      <c r="E11" t="str">
        <f>IF(ISNUMBER(Tippspiel!O22),Tippspiel!O22,"")</f>
        <v/>
      </c>
      <c r="G11" s="142"/>
      <c r="H11" s="143"/>
      <c r="I11" s="143"/>
      <c r="J11" s="143"/>
      <c r="K11" s="143"/>
      <c r="L11" s="143"/>
      <c r="M11" s="143"/>
      <c r="O11" s="142"/>
      <c r="P11" s="143"/>
      <c r="Q11" s="143"/>
      <c r="R11" s="143"/>
      <c r="S11" s="143"/>
      <c r="T11" s="143"/>
      <c r="U11" s="143"/>
      <c r="W11">
        <f t="shared" si="5"/>
        <v>6</v>
      </c>
      <c r="X11">
        <f t="shared" si="1"/>
        <v>0.1</v>
      </c>
      <c r="Y11" t="str">
        <f t="shared" si="2"/>
        <v>MUH-Bande Jena</v>
      </c>
      <c r="Z11">
        <f>IF(COUNT(H18:M18)=COUNT(M13:M18),COUNT(H18:M18),"")</f>
        <v>0</v>
      </c>
      <c r="AA11">
        <f t="shared" si="3"/>
        <v>0</v>
      </c>
      <c r="AB11">
        <f t="shared" si="4"/>
        <v>0</v>
      </c>
      <c r="AC11">
        <f>SUM(M13:M18)</f>
        <v>0</v>
      </c>
      <c r="AD11">
        <f t="shared" si="6"/>
        <v>0</v>
      </c>
      <c r="AE11">
        <v>0.1</v>
      </c>
    </row>
    <row r="12" spans="1:32" x14ac:dyDescent="0.25">
      <c r="A12" t="str">
        <f t="shared" si="0"/>
        <v>DampfnudelEinradhockey Elmshorn</v>
      </c>
      <c r="B12" t="str">
        <f>Tippspiel!F23</f>
        <v>Dampfnudel</v>
      </c>
      <c r="C12" t="str">
        <f>Tippspiel!K23</f>
        <v>Einradhockey Elmshorn</v>
      </c>
      <c r="D12" t="str">
        <f>IF(ISNUMBER(Tippspiel!M23),Tippspiel!M23,"")</f>
        <v/>
      </c>
      <c r="E12" t="str">
        <f>IF(ISNUMBER(Tippspiel!O23),Tippspiel!O23,"")</f>
        <v/>
      </c>
      <c r="G12" s="142"/>
      <c r="H12" s="143"/>
      <c r="I12" s="143"/>
      <c r="J12" s="143"/>
      <c r="K12" s="143"/>
      <c r="L12" s="143"/>
      <c r="M12" s="143"/>
      <c r="O12" s="142"/>
      <c r="P12" s="143"/>
      <c r="Q12" s="143"/>
      <c r="R12" s="143"/>
      <c r="S12" s="143"/>
      <c r="T12" s="143"/>
      <c r="U12" s="143"/>
      <c r="Y12" t="b">
        <f>AND(Z12,AA12)</f>
        <v>0</v>
      </c>
      <c r="Z12" t="b">
        <f>SUM(Z6:Z11)=COUNT(Z6:Z11)*(COUNTA(Y6:Y11)-1)</f>
        <v>0</v>
      </c>
      <c r="AA12" t="b" cm="1">
        <f t="array" ref="AA12">OR(COUNTIF(AA6:AA11,AA6:AA11)&gt;1)</f>
        <v>1</v>
      </c>
    </row>
    <row r="13" spans="1:32" x14ac:dyDescent="0.25">
      <c r="A13" t="str">
        <f t="shared" si="0"/>
        <v>BTC Heisse ReifenMUH-Bande Jena</v>
      </c>
      <c r="B13" t="str">
        <f>Tippspiel!F24</f>
        <v>BTC Heisse Reifen</v>
      </c>
      <c r="C13" t="str">
        <f>Tippspiel!K24</f>
        <v>MUH-Bande Jena</v>
      </c>
      <c r="D13" t="str">
        <f>IF(ISNUMBER(Tippspiel!M24),Tippspiel!M24,"")</f>
        <v/>
      </c>
      <c r="E13" t="str">
        <f>IF(ISNUMBER(Tippspiel!O24),Tippspiel!O24,"")</f>
        <v/>
      </c>
      <c r="G13" t="str">
        <f>Tippspiel!C7</f>
        <v>BTC Heisse Reifen</v>
      </c>
      <c r="H13" s="3"/>
      <c r="I13" t="str">
        <f>VLOOKUP($G13&amp;I$5,$A$5:$E$19,4,FALSE)</f>
        <v/>
      </c>
      <c r="J13" t="str">
        <f>VLOOKUP($G13&amp;J$5,$A$5:$E$19,4,FALSE)</f>
        <v/>
      </c>
      <c r="K13" t="str">
        <f>VLOOKUP($G13&amp;K$5,$A$5:$E$19,4,FALSE)</f>
        <v/>
      </c>
      <c r="L13" t="str">
        <f>VLOOKUP($G13&amp;L$5,$A$5:$E$19,4,FALSE)</f>
        <v/>
      </c>
      <c r="M13" t="str">
        <f>VLOOKUP($G13&amp;M$5,$A$5:$E$19,4,FALSE)</f>
        <v/>
      </c>
      <c r="O13" t="str">
        <f t="shared" ref="O13:O18" si="7">G13</f>
        <v>BTC Heisse Reifen</v>
      </c>
      <c r="P13" s="3"/>
      <c r="Q13" t="str">
        <f>IF(AND(ISNUMBER(I13),ISNUMBER(H14)),IF(I13&gt;H14,3,IF(I13&lt;H14,0,1)),"")</f>
        <v/>
      </c>
      <c r="R13" t="str">
        <f>IF(AND(ISNUMBER(J13),ISNUMBER(H15)),IF(J13&gt;H15,3,IF(J13&lt;H15,0,1)),"")</f>
        <v/>
      </c>
      <c r="S13" t="str">
        <f>IF(AND(ISNUMBER(K13),ISNUMBER(H16)),IF(K13&gt;H16,3,IF(K13&lt;H16,0,1)),"")</f>
        <v/>
      </c>
      <c r="T13" t="str">
        <f>IF(AND(ISNUMBER(L13),ISNUMBER(H17)),IF(L13&gt;H17,3,IF(L13&lt;H17,0,1)),"")</f>
        <v/>
      </c>
      <c r="U13" t="str">
        <f>IF(AND(ISNUMBER(M13),ISNUMBER(H18)),IF(M13&gt;H18,3,IF(M13&lt;H18,0,1)),"")</f>
        <v/>
      </c>
    </row>
    <row r="14" spans="1:32" x14ac:dyDescent="0.25">
      <c r="A14" t="str">
        <f t="shared" si="0"/>
        <v>FunPowerTeamEinradhockey Elmshorn</v>
      </c>
      <c r="B14" t="str">
        <f>Tippspiel!F25</f>
        <v>FunPowerTeam</v>
      </c>
      <c r="C14" t="str">
        <f>Tippspiel!K25</f>
        <v>Einradhockey Elmshorn</v>
      </c>
      <c r="D14" t="str">
        <f>IF(ISNUMBER(Tippspiel!M25),Tippspiel!M25,"")</f>
        <v/>
      </c>
      <c r="E14" t="str">
        <f>IF(ISNUMBER(Tippspiel!O25),Tippspiel!O25,"")</f>
        <v/>
      </c>
      <c r="G14" t="str">
        <f>Tippspiel!C8</f>
        <v>Hockey Hawks</v>
      </c>
      <c r="H14" t="str">
        <f>VLOOKUP(H$5&amp;$G14,$A$5:$E$19,5,FALSE)</f>
        <v/>
      </c>
      <c r="I14" s="3"/>
      <c r="J14" t="str">
        <f>VLOOKUP($G14&amp;J$5,$A$5:$E$19,4,FALSE)</f>
        <v/>
      </c>
      <c r="K14" t="str">
        <f>VLOOKUP($G14&amp;K$5,$A$5:$E$19,4,FALSE)</f>
        <v/>
      </c>
      <c r="L14" t="str">
        <f>VLOOKUP($G14&amp;L$5,$A$5:$E$19,4,FALSE)</f>
        <v/>
      </c>
      <c r="M14" t="str">
        <f>VLOOKUP($G14&amp;M$5,$A$5:$E$19,4,FALSE)</f>
        <v/>
      </c>
      <c r="O14" t="str">
        <f t="shared" si="7"/>
        <v>Hockey Hawks</v>
      </c>
      <c r="P14" t="str">
        <f>IF(AND(ISNUMBER(H14),ISNUMBER(I13)),IF(H14&gt;I13,3,IF(H14&lt;I13,0,1)),"")</f>
        <v/>
      </c>
      <c r="Q14" s="3"/>
      <c r="R14" t="str">
        <f>IF(AND(ISNUMBER(J14),ISNUMBER(I15)),IF(J14&gt;I15,3,IF(J14&lt;I15,0,1)),"")</f>
        <v/>
      </c>
      <c r="S14" t="str">
        <f>IF(AND(ISNUMBER(K14),ISNUMBER(I16)),IF(K14&gt;I16,3,IF(K14&lt;I16,0,1)),"")</f>
        <v/>
      </c>
      <c r="T14" t="str">
        <f>IF(AND(ISNUMBER(L14),ISNUMBER(I17)),IF(L14&gt;I17,3,IF(L14&lt;I17,0,1)),"")</f>
        <v/>
      </c>
      <c r="U14" t="str">
        <f>IF(AND(ISNUMBER(M14),ISNUMBER(I18)),IF(M14&gt;I18,3,IF(M14&lt;I18,0,1)),"")</f>
        <v/>
      </c>
    </row>
    <row r="15" spans="1:32" x14ac:dyDescent="0.25">
      <c r="A15" t="str">
        <f t="shared" si="0"/>
        <v>Hockey HawksMUH-Bande Jena</v>
      </c>
      <c r="B15" t="str">
        <f>Tippspiel!F26</f>
        <v>Hockey Hawks</v>
      </c>
      <c r="C15" t="str">
        <f>Tippspiel!K26</f>
        <v>MUH-Bande Jena</v>
      </c>
      <c r="D15" t="str">
        <f>IF(ISNUMBER(Tippspiel!M26),Tippspiel!M26,"")</f>
        <v/>
      </c>
      <c r="E15" t="str">
        <f>IF(ISNUMBER(Tippspiel!O26),Tippspiel!O26,"")</f>
        <v/>
      </c>
      <c r="G15" t="str">
        <f>Tippspiel!C9</f>
        <v>Dampfnudel</v>
      </c>
      <c r="H15" t="str">
        <f>VLOOKUP(H$5&amp;$G15,$A$5:$E$19,5,FALSE)</f>
        <v/>
      </c>
      <c r="I15" t="str">
        <f>VLOOKUP(I$5&amp;$G15,$A$5:$E$19,5,FALSE)</f>
        <v/>
      </c>
      <c r="J15" s="3"/>
      <c r="K15" t="str">
        <f>VLOOKUP($G15&amp;K$5,$A$5:$E$19,4,FALSE)</f>
        <v/>
      </c>
      <c r="L15" t="str">
        <f>VLOOKUP($G15&amp;L$5,$A$5:$E$19,4,FALSE)</f>
        <v/>
      </c>
      <c r="M15" t="str">
        <f>VLOOKUP($G15&amp;M$5,$A$5:$E$19,4,FALSE)</f>
        <v/>
      </c>
      <c r="O15" t="str">
        <f t="shared" si="7"/>
        <v>Dampfnudel</v>
      </c>
      <c r="P15" t="str">
        <f>IF(AND(ISNUMBER(H15),ISNUMBER(J13)),IF(H15&gt;J13,3,IF(H15&lt;J13,0,1)),"")</f>
        <v/>
      </c>
      <c r="Q15" t="str">
        <f>IF(AND(ISNUMBER(I15),ISNUMBER(J14)),IF(I15&gt;J14,3,IF(I15&lt;J14,0,1)),"")</f>
        <v/>
      </c>
      <c r="R15" s="3"/>
      <c r="S15" t="str">
        <f>IF(AND(ISNUMBER(K15),ISNUMBER(J16)),IF(K15&gt;J16,3,IF(K15&lt;J16,0,1)),"")</f>
        <v/>
      </c>
      <c r="T15" t="str">
        <f>IF(AND(ISNUMBER(L15),ISNUMBER(J17)),IF(L15&gt;J17,3,IF(L15&lt;J17,0,1)),"")</f>
        <v/>
      </c>
      <c r="U15" t="str">
        <f>IF(AND(ISNUMBER(M15),ISNUMBER(J18)),IF(M15&gt;J18,3,IF(M15&lt;J18,0,1)),"")</f>
        <v/>
      </c>
    </row>
    <row r="16" spans="1:32" ht="15" customHeight="1" x14ac:dyDescent="0.25">
      <c r="A16" t="str">
        <f t="shared" si="0"/>
        <v>BTC Heisse ReifenDampfnudel</v>
      </c>
      <c r="B16" t="str">
        <f>Tippspiel!F27</f>
        <v>BTC Heisse Reifen</v>
      </c>
      <c r="C16" t="str">
        <f>Tippspiel!K27</f>
        <v>Dampfnudel</v>
      </c>
      <c r="D16" t="str">
        <f>IF(ISNUMBER(Tippspiel!M27),Tippspiel!M27,"")</f>
        <v/>
      </c>
      <c r="E16" t="str">
        <f>IF(ISNUMBER(Tippspiel!O27),Tippspiel!O27,"")</f>
        <v/>
      </c>
      <c r="G16" t="str">
        <f>Tippspiel!C10</f>
        <v>FunPowerTeam</v>
      </c>
      <c r="H16" t="str">
        <f>VLOOKUP(H$5&amp;$G16,$A$5:$E$19,5,FALSE)</f>
        <v/>
      </c>
      <c r="I16" t="str">
        <f>VLOOKUP(I$5&amp;$G16,$A$5:$E$19,5,FALSE)</f>
        <v/>
      </c>
      <c r="J16" t="str">
        <f>VLOOKUP(J$5&amp;$G16,$A$5:$E$19,5,FALSE)</f>
        <v/>
      </c>
      <c r="K16" s="3"/>
      <c r="L16" t="str">
        <f>VLOOKUP($G16&amp;L$5,$A$5:$E$19,4,FALSE)</f>
        <v/>
      </c>
      <c r="M16" t="str">
        <f>VLOOKUP($G16&amp;M$5,$A$5:$E$19,4,FALSE)</f>
        <v/>
      </c>
      <c r="O16" t="str">
        <f t="shared" si="7"/>
        <v>FunPowerTeam</v>
      </c>
      <c r="P16" t="str">
        <f>IF(AND(ISNUMBER(H16),ISNUMBER(K13)),IF(H16&gt;K13,3,IF(H16&lt;K13,0,1)),"")</f>
        <v/>
      </c>
      <c r="Q16" t="str">
        <f>IF(AND(ISNUMBER(I16),ISNUMBER(K14)),IF(I16&gt;K14,3,IF(I16&lt;K14,0,1)),"")</f>
        <v/>
      </c>
      <c r="R16" t="str">
        <f>IF(AND(ISNUMBER(J16),ISNUMBER(K15)),IF(J16&gt;K15,3,IF(J16&lt;K15,0,1)),"")</f>
        <v/>
      </c>
      <c r="S16" s="3"/>
      <c r="T16" t="str">
        <f>IF(AND(ISNUMBER(L16),ISNUMBER(K17)),IF(L16&gt;K17,3,IF(L16&lt;K17,0,1)),"")</f>
        <v/>
      </c>
      <c r="U16" t="str">
        <f>IF(AND(ISNUMBER(M16),ISNUMBER(K18)),IF(M16&gt;K18,3,IF(M16&lt;K18,0,1)),"")</f>
        <v/>
      </c>
    </row>
    <row r="17" spans="1:32" x14ac:dyDescent="0.25">
      <c r="A17" t="str">
        <f t="shared" si="0"/>
        <v>Einradhockey ElmshornMUH-Bande Jena</v>
      </c>
      <c r="B17" t="str">
        <f>Tippspiel!F28</f>
        <v>Einradhockey Elmshorn</v>
      </c>
      <c r="C17" t="str">
        <f>Tippspiel!K28</f>
        <v>MUH-Bande Jena</v>
      </c>
      <c r="D17" t="str">
        <f>IF(ISNUMBER(Tippspiel!M28),Tippspiel!M28,"")</f>
        <v/>
      </c>
      <c r="E17" t="str">
        <f>IF(ISNUMBER(Tippspiel!O28),Tippspiel!O28,"")</f>
        <v/>
      </c>
      <c r="G17" t="str">
        <f>Tippspiel!C11</f>
        <v>Einradhockey Elmshorn</v>
      </c>
      <c r="H17" t="str">
        <f>VLOOKUP(H$5&amp;$G17,$A$5:$E$19,5,FALSE)</f>
        <v/>
      </c>
      <c r="I17" t="str">
        <f>VLOOKUP(I$5&amp;$G17,$A$5:$E$19,5,FALSE)</f>
        <v/>
      </c>
      <c r="J17" t="str">
        <f>VLOOKUP(J$5&amp;$G17,$A$5:$E$19,5,FALSE)</f>
        <v/>
      </c>
      <c r="K17" t="str">
        <f>VLOOKUP(K$5&amp;$G17,$A$5:$E$19,5,FALSE)</f>
        <v/>
      </c>
      <c r="L17" s="3"/>
      <c r="M17" t="str">
        <f>VLOOKUP($G17&amp;M$5,$A$5:$E$19,4,FALSE)</f>
        <v/>
      </c>
      <c r="O17" t="str">
        <f t="shared" si="7"/>
        <v>Einradhockey Elmshorn</v>
      </c>
      <c r="P17" t="str">
        <f>IF(AND(ISNUMBER(H17),ISNUMBER(L13)),IF(H17&gt;L13,3,IF(H17&lt;L13,0,1)),"")</f>
        <v/>
      </c>
      <c r="Q17" t="str">
        <f>IF(AND(ISNUMBER(I17),ISNUMBER(L14)),IF(I17&gt;L14,3,IF(I17&lt;L14,0,1)),"")</f>
        <v/>
      </c>
      <c r="R17" t="str">
        <f>IF(AND(ISNUMBER(J17),ISNUMBER(L15)),IF(J17&gt;L15,3,IF(J17&lt;L15,0,1)),"")</f>
        <v/>
      </c>
      <c r="S17" t="str">
        <f>IF(AND(ISNUMBER(K17),ISNUMBER(L16)),IF(K17&gt;L16,3,IF(K17&lt;L16,0,1)),"")</f>
        <v/>
      </c>
      <c r="T17" s="3"/>
      <c r="U17" t="str">
        <f>IF(AND(ISNUMBER(M17),ISNUMBER(L18)),IF(M17&gt;L18,3,IF(M17&lt;L18,0,1)),"")</f>
        <v/>
      </c>
    </row>
    <row r="18" spans="1:32" x14ac:dyDescent="0.25">
      <c r="A18" t="str">
        <f t="shared" si="0"/>
        <v>DampfnudelFunPowerTeam</v>
      </c>
      <c r="B18" t="str">
        <f>Tippspiel!F29</f>
        <v>Dampfnudel</v>
      </c>
      <c r="C18" t="str">
        <f>Tippspiel!K29</f>
        <v>FunPowerTeam</v>
      </c>
      <c r="D18" t="str">
        <f>IF(ISNUMBER(Tippspiel!M29),Tippspiel!M29,"")</f>
        <v/>
      </c>
      <c r="E18" t="str">
        <f>IF(ISNUMBER(Tippspiel!O29),Tippspiel!O29,"")</f>
        <v/>
      </c>
      <c r="G18" t="str">
        <f>Tippspiel!C12</f>
        <v>MUH-Bande Jena</v>
      </c>
      <c r="H18" t="str">
        <f>VLOOKUP(H$5&amp;$G18,$A$5:$E$19,5,FALSE)</f>
        <v/>
      </c>
      <c r="I18" t="str">
        <f>VLOOKUP(I$5&amp;$G18,$A$5:$E$19,5,FALSE)</f>
        <v/>
      </c>
      <c r="J18" t="str">
        <f>VLOOKUP(J$5&amp;$G18,$A$5:$E$19,5,FALSE)</f>
        <v/>
      </c>
      <c r="K18" t="str">
        <f>VLOOKUP(K$5&amp;$G18,$A$5:$E$19,5,FALSE)</f>
        <v/>
      </c>
      <c r="L18" t="str">
        <f>VLOOKUP(L$5&amp;$G18,$A$5:$E$19,5,FALSE)</f>
        <v/>
      </c>
      <c r="M18" s="3"/>
      <c r="O18" t="str">
        <f t="shared" si="7"/>
        <v>MUH-Bande Jena</v>
      </c>
      <c r="P18" t="str">
        <f>IF(AND(ISNUMBER(H18),ISNUMBER(M13)),IF(H18&gt;M13,3,IF(H18&lt;M13,0,1)),"")</f>
        <v/>
      </c>
      <c r="Q18" t="str">
        <f>IF(AND(ISNUMBER(I18),ISNUMBER(M14)),IF(I18&gt;M14,3,IF(I18&lt;M14,0,1)),"")</f>
        <v/>
      </c>
      <c r="R18" t="str">
        <f>IF(AND(ISNUMBER(J18),ISNUMBER(M15)),IF(J18&gt;M15,3,IF(J18&lt;M15,0,1)),"")</f>
        <v/>
      </c>
      <c r="S18" t="str">
        <f>IF(AND(ISNUMBER(K18),ISNUMBER(M16)),IF(K18&gt;M16,3,IF(K18&lt;M16,0,1)),"")</f>
        <v/>
      </c>
      <c r="T18" t="str">
        <f>IF(AND(ISNUMBER(L18),ISNUMBER(M17)),IF(L18&gt;M17,3,IF(L18&lt;M17,0,1)),"")</f>
        <v/>
      </c>
      <c r="U18" s="3"/>
    </row>
    <row r="19" spans="1:32" ht="15" customHeight="1" x14ac:dyDescent="0.25">
      <c r="A19" t="str">
        <f t="shared" si="0"/>
        <v>BTC Heisse ReifenHockey Hawks</v>
      </c>
      <c r="B19" t="str">
        <f>Tippspiel!F30</f>
        <v>BTC Heisse Reifen</v>
      </c>
      <c r="C19" t="str">
        <f>Tippspiel!K30</f>
        <v>Hockey Hawks</v>
      </c>
      <c r="D19" t="str">
        <f>IF(ISNUMBER(Tippspiel!M30),Tippspiel!M30,"")</f>
        <v/>
      </c>
      <c r="E19" t="str">
        <f>IF(ISNUMBER(Tippspiel!O30),Tippspiel!O30,"")</f>
        <v/>
      </c>
    </row>
    <row r="22" spans="1:32" x14ac:dyDescent="0.25">
      <c r="A22" s="141" t="s">
        <v>75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1"/>
      <c r="S22" s="141"/>
      <c r="T22" s="141"/>
      <c r="U22" s="141"/>
      <c r="V22" s="141"/>
      <c r="W22" s="141"/>
      <c r="X22" s="141"/>
      <c r="Y22" s="141"/>
      <c r="Z22" s="141"/>
      <c r="AA22" s="141"/>
      <c r="AB22" s="141"/>
      <c r="AC22" s="141"/>
      <c r="AD22" s="141"/>
      <c r="AE22" s="141"/>
      <c r="AF22" s="141"/>
    </row>
    <row r="23" spans="1:32" x14ac:dyDescent="0.25">
      <c r="B23" t="s">
        <v>29</v>
      </c>
      <c r="C23" t="s">
        <v>30</v>
      </c>
      <c r="D23" s="145" t="s">
        <v>3</v>
      </c>
      <c r="E23" s="145"/>
    </row>
    <row r="24" spans="1:32" x14ac:dyDescent="0.25">
      <c r="A24" t="str">
        <f>B24&amp;C24</f>
        <v>MJC Trier - Die LegionäreGeisterfahrer</v>
      </c>
      <c r="B24" t="str">
        <f>Tippspiel!F54</f>
        <v>MJC Trier - Die Legionäre</v>
      </c>
      <c r="C24" t="str">
        <f>Tippspiel!K54</f>
        <v>Geisterfahrer</v>
      </c>
      <c r="D24" t="str">
        <f>IF(ISNUMBER(Tippspiel!M54),Tippspiel!M54,"")</f>
        <v/>
      </c>
      <c r="E24" t="str">
        <f>IF(ISNUMBER(Tippspiel!O54),Tippspiel!O54,"")</f>
        <v/>
      </c>
      <c r="G24" s="142" t="s">
        <v>27</v>
      </c>
      <c r="H24" s="143" t="str">
        <f>G32</f>
        <v>OnewheeleRS</v>
      </c>
      <c r="I24" s="143" t="str">
        <f>G33</f>
        <v>Querrad</v>
      </c>
      <c r="J24" s="143" t="str">
        <f>G34</f>
        <v>MJC Trier - Die Legionäre</v>
      </c>
      <c r="K24" s="143" t="str" cm="1">
        <f t="array" ref="K24">_xlfn.ANCHORARRAY(G35)</f>
        <v>SKV Mörfelden UniThunder</v>
      </c>
      <c r="L24" s="143" t="str">
        <f>G36</f>
        <v>MJC Trier - Die Treverer</v>
      </c>
      <c r="M24" s="143" t="str">
        <f>G37</f>
        <v>Geisterfahrer</v>
      </c>
      <c r="O24" s="142" t="s">
        <v>26</v>
      </c>
      <c r="P24" s="143" t="str">
        <f>O32</f>
        <v>OnewheeleRS</v>
      </c>
      <c r="Q24" s="143" t="str">
        <f>O33</f>
        <v>Querrad</v>
      </c>
      <c r="R24" s="143" t="str">
        <f>O34</f>
        <v>MJC Trier - Die Legionäre</v>
      </c>
      <c r="S24" s="143" t="str">
        <f>O35</f>
        <v>SKV Mörfelden UniThunder</v>
      </c>
      <c r="T24" s="143" t="str">
        <f>O36</f>
        <v>MJC Trier - Die Treverer</v>
      </c>
      <c r="U24" s="143" t="str">
        <f>O37</f>
        <v>Geisterfahrer</v>
      </c>
      <c r="Y24" s="2" t="s">
        <v>33</v>
      </c>
      <c r="Z24" s="2" t="s">
        <v>25</v>
      </c>
      <c r="AA24" s="2" t="s">
        <v>26</v>
      </c>
      <c r="AB24" s="2" t="s">
        <v>27</v>
      </c>
      <c r="AC24" s="2" t="s">
        <v>28</v>
      </c>
      <c r="AD24" s="2" t="s">
        <v>31</v>
      </c>
      <c r="AE24" s="2" t="s">
        <v>32</v>
      </c>
    </row>
    <row r="25" spans="1:32" x14ac:dyDescent="0.25">
      <c r="A25" t="str">
        <f t="shared" ref="A25:A38" si="8">B25&amp;C25</f>
        <v>QuerradMJC Trier - Die Treverer</v>
      </c>
      <c r="B25" t="str">
        <f>Tippspiel!F55</f>
        <v>Querrad</v>
      </c>
      <c r="C25" t="str">
        <f>Tippspiel!K55</f>
        <v>MJC Trier - Die Treverer</v>
      </c>
      <c r="D25" t="str">
        <f>IF(ISNUMBER(Tippspiel!M55),Tippspiel!M55,"")</f>
        <v/>
      </c>
      <c r="E25" t="str">
        <f>IF(ISNUMBER(Tippspiel!O55),Tippspiel!O55,"")</f>
        <v/>
      </c>
      <c r="G25" s="142"/>
      <c r="H25" s="143"/>
      <c r="I25" s="143"/>
      <c r="J25" s="143"/>
      <c r="K25" s="143"/>
      <c r="L25" s="143"/>
      <c r="M25" s="143"/>
      <c r="O25" s="142"/>
      <c r="P25" s="143"/>
      <c r="Q25" s="143"/>
      <c r="R25" s="143"/>
      <c r="S25" s="143"/>
      <c r="T25" s="143"/>
      <c r="U25" s="143"/>
      <c r="W25">
        <f t="shared" ref="W25:W30" si="9">RANK(X25,$X$25:$X$30)</f>
        <v>1</v>
      </c>
      <c r="X25">
        <f t="shared" ref="X25:X29" si="10">10000*AA25+100*AB25+AE25</f>
        <v>0.6</v>
      </c>
      <c r="Y25" t="str">
        <f t="shared" ref="Y25:Y30" si="11">G32</f>
        <v>OnewheeleRS</v>
      </c>
      <c r="Z25">
        <f>IF(COUNT(H32:M32)=COUNT(H32:H37),COUNT(H32:M32),"")</f>
        <v>0</v>
      </c>
      <c r="AA25">
        <f t="shared" ref="AA25:AA30" si="12">SUM(P32:U32)</f>
        <v>0</v>
      </c>
      <c r="AB25">
        <f t="shared" ref="AB25:AB30" si="13">SUM(H32:M32)</f>
        <v>0</v>
      </c>
      <c r="AC25">
        <f>SUM(H32:H37)</f>
        <v>0</v>
      </c>
      <c r="AD25">
        <f>AB25-AC25</f>
        <v>0</v>
      </c>
      <c r="AE25">
        <v>0.6</v>
      </c>
    </row>
    <row r="26" spans="1:32" x14ac:dyDescent="0.25">
      <c r="A26" t="str">
        <f t="shared" si="8"/>
        <v>OnewheeleRSSKV Mörfelden UniThunder</v>
      </c>
      <c r="B26" t="str">
        <f>Tippspiel!F56</f>
        <v>OnewheeleRS</v>
      </c>
      <c r="C26" t="str">
        <f>Tippspiel!K56</f>
        <v>SKV Mörfelden UniThunder</v>
      </c>
      <c r="D26" t="str">
        <f>IF(ISNUMBER(Tippspiel!M56),Tippspiel!M56,"")</f>
        <v/>
      </c>
      <c r="E26" t="str">
        <f>IF(ISNUMBER(Tippspiel!O56),Tippspiel!O56,"")</f>
        <v/>
      </c>
      <c r="G26" s="142"/>
      <c r="H26" s="143"/>
      <c r="I26" s="143"/>
      <c r="J26" s="143"/>
      <c r="K26" s="143"/>
      <c r="L26" s="143"/>
      <c r="M26" s="143"/>
      <c r="O26" s="142"/>
      <c r="P26" s="143"/>
      <c r="Q26" s="143"/>
      <c r="R26" s="143"/>
      <c r="S26" s="143"/>
      <c r="T26" s="143"/>
      <c r="U26" s="143"/>
      <c r="W26">
        <f t="shared" si="9"/>
        <v>2</v>
      </c>
      <c r="X26">
        <f t="shared" si="10"/>
        <v>0.5</v>
      </c>
      <c r="Y26" t="str">
        <f t="shared" si="11"/>
        <v>Querrad</v>
      </c>
      <c r="Z26">
        <f>IF(COUNT(H33:M33)=COUNT(I32:I37),COUNT(H33:M33),"")</f>
        <v>0</v>
      </c>
      <c r="AA26">
        <f t="shared" si="12"/>
        <v>0</v>
      </c>
      <c r="AB26">
        <f t="shared" si="13"/>
        <v>0</v>
      </c>
      <c r="AC26">
        <f>SUM(I32:I37)</f>
        <v>0</v>
      </c>
      <c r="AD26">
        <f t="shared" ref="AD26:AD30" si="14">AB26-AC26</f>
        <v>0</v>
      </c>
      <c r="AE26">
        <v>0.5</v>
      </c>
    </row>
    <row r="27" spans="1:32" x14ac:dyDescent="0.25">
      <c r="A27" t="str">
        <f t="shared" si="8"/>
        <v>QuerradMJC Trier - Die Legionäre</v>
      </c>
      <c r="B27" t="str">
        <f>Tippspiel!F57</f>
        <v>Querrad</v>
      </c>
      <c r="C27" t="str">
        <f>Tippspiel!K57</f>
        <v>MJC Trier - Die Legionäre</v>
      </c>
      <c r="D27" t="str">
        <f>IF(ISNUMBER(Tippspiel!M57),Tippspiel!M57,"")</f>
        <v/>
      </c>
      <c r="E27" t="str">
        <f>IF(ISNUMBER(Tippspiel!O57),Tippspiel!O57,"")</f>
        <v/>
      </c>
      <c r="G27" s="142"/>
      <c r="H27" s="143"/>
      <c r="I27" s="143"/>
      <c r="J27" s="143"/>
      <c r="K27" s="143"/>
      <c r="L27" s="143"/>
      <c r="M27" s="143"/>
      <c r="O27" s="142"/>
      <c r="P27" s="143"/>
      <c r="Q27" s="143"/>
      <c r="R27" s="143"/>
      <c r="S27" s="143"/>
      <c r="T27" s="143"/>
      <c r="U27" s="143"/>
      <c r="W27">
        <f t="shared" si="9"/>
        <v>3</v>
      </c>
      <c r="X27">
        <f t="shared" si="10"/>
        <v>0.4</v>
      </c>
      <c r="Y27" t="str">
        <f t="shared" si="11"/>
        <v>MJC Trier - Die Legionäre</v>
      </c>
      <c r="Z27">
        <f>IF(COUNT(H34:M34)=COUNT(J32:J37),COUNT(H34:M34),"")</f>
        <v>0</v>
      </c>
      <c r="AA27">
        <f t="shared" si="12"/>
        <v>0</v>
      </c>
      <c r="AB27">
        <f t="shared" si="13"/>
        <v>0</v>
      </c>
      <c r="AC27">
        <f>SUM(J32:J37)</f>
        <v>0</v>
      </c>
      <c r="AD27">
        <f t="shared" si="14"/>
        <v>0</v>
      </c>
      <c r="AE27">
        <v>0.4</v>
      </c>
    </row>
    <row r="28" spans="1:32" x14ac:dyDescent="0.25">
      <c r="A28" t="str">
        <f t="shared" si="8"/>
        <v>SKV Mörfelden UniThunderGeisterfahrer</v>
      </c>
      <c r="B28" t="str">
        <f>Tippspiel!F58</f>
        <v>SKV Mörfelden UniThunder</v>
      </c>
      <c r="C28" t="str">
        <f>Tippspiel!K58</f>
        <v>Geisterfahrer</v>
      </c>
      <c r="D28" t="str">
        <f>IF(ISNUMBER(Tippspiel!M58),Tippspiel!M58,"")</f>
        <v/>
      </c>
      <c r="E28" t="str">
        <f>IF(ISNUMBER(Tippspiel!O58),Tippspiel!O58,"")</f>
        <v/>
      </c>
      <c r="G28" s="142"/>
      <c r="H28" s="143"/>
      <c r="I28" s="143"/>
      <c r="J28" s="143"/>
      <c r="K28" s="143"/>
      <c r="L28" s="143"/>
      <c r="M28" s="143"/>
      <c r="O28" s="142"/>
      <c r="P28" s="143"/>
      <c r="Q28" s="143"/>
      <c r="R28" s="143"/>
      <c r="S28" s="143"/>
      <c r="T28" s="143"/>
      <c r="U28" s="143"/>
      <c r="W28">
        <f t="shared" si="9"/>
        <v>4</v>
      </c>
      <c r="X28">
        <f t="shared" si="10"/>
        <v>0.3</v>
      </c>
      <c r="Y28" t="str">
        <f t="shared" si="11"/>
        <v>SKV Mörfelden UniThunder</v>
      </c>
      <c r="Z28">
        <f>IF(COUNT(H35:M35)=COUNT(K32:K37),COUNT(H35:M35),"")</f>
        <v>0</v>
      </c>
      <c r="AA28">
        <f t="shared" si="12"/>
        <v>0</v>
      </c>
      <c r="AB28">
        <f t="shared" si="13"/>
        <v>0</v>
      </c>
      <c r="AC28">
        <f>SUM(K32:K37)</f>
        <v>0</v>
      </c>
      <c r="AD28">
        <f t="shared" si="14"/>
        <v>0</v>
      </c>
      <c r="AE28">
        <v>0.3</v>
      </c>
    </row>
    <row r="29" spans="1:32" x14ac:dyDescent="0.25">
      <c r="A29" t="str">
        <f t="shared" si="8"/>
        <v>OnewheeleRSMJC Trier - Die Treverer</v>
      </c>
      <c r="B29" t="str">
        <f>Tippspiel!F59</f>
        <v>OnewheeleRS</v>
      </c>
      <c r="C29" t="str">
        <f>Tippspiel!K59</f>
        <v>MJC Trier - Die Treverer</v>
      </c>
      <c r="D29" t="str">
        <f>IF(ISNUMBER(Tippspiel!M59),Tippspiel!M59,"")</f>
        <v/>
      </c>
      <c r="E29" t="str">
        <f>IF(ISNUMBER(Tippspiel!O59),Tippspiel!O59,"")</f>
        <v/>
      </c>
      <c r="G29" s="142"/>
      <c r="H29" s="143"/>
      <c r="I29" s="143"/>
      <c r="J29" s="143"/>
      <c r="K29" s="143"/>
      <c r="L29" s="143"/>
      <c r="M29" s="143"/>
      <c r="O29" s="142"/>
      <c r="P29" s="143"/>
      <c r="Q29" s="143"/>
      <c r="R29" s="143"/>
      <c r="S29" s="143"/>
      <c r="T29" s="143"/>
      <c r="U29" s="143"/>
      <c r="W29">
        <f t="shared" si="9"/>
        <v>5</v>
      </c>
      <c r="X29">
        <f t="shared" si="10"/>
        <v>0.2</v>
      </c>
      <c r="Y29" t="str">
        <f t="shared" si="11"/>
        <v>MJC Trier - Die Treverer</v>
      </c>
      <c r="Z29">
        <f>IF(COUNT(H36:M36)=COUNT(L32:L37),COUNT(H36:M36),"")</f>
        <v>0</v>
      </c>
      <c r="AA29">
        <f t="shared" si="12"/>
        <v>0</v>
      </c>
      <c r="AB29">
        <f t="shared" si="13"/>
        <v>0</v>
      </c>
      <c r="AC29">
        <f>SUM(L32:L37)</f>
        <v>0</v>
      </c>
      <c r="AD29">
        <f t="shared" si="14"/>
        <v>0</v>
      </c>
      <c r="AE29">
        <v>0.2</v>
      </c>
    </row>
    <row r="30" spans="1:32" x14ac:dyDescent="0.25">
      <c r="A30" t="str">
        <f t="shared" si="8"/>
        <v>QuerradSKV Mörfelden UniThunder</v>
      </c>
      <c r="B30" t="str">
        <f>Tippspiel!F60</f>
        <v>Querrad</v>
      </c>
      <c r="C30" t="str">
        <f>Tippspiel!K60</f>
        <v>SKV Mörfelden UniThunder</v>
      </c>
      <c r="D30" t="str">
        <f>IF(ISNUMBER(Tippspiel!M60),Tippspiel!M60,"")</f>
        <v/>
      </c>
      <c r="E30" t="str">
        <f>IF(ISNUMBER(Tippspiel!O60),Tippspiel!O60,"")</f>
        <v/>
      </c>
      <c r="G30" s="142"/>
      <c r="H30" s="143"/>
      <c r="I30" s="143"/>
      <c r="J30" s="143"/>
      <c r="K30" s="143"/>
      <c r="L30" s="143"/>
      <c r="M30" s="143"/>
      <c r="O30" s="142"/>
      <c r="P30" s="143"/>
      <c r="Q30" s="143"/>
      <c r="R30" s="143"/>
      <c r="S30" s="143"/>
      <c r="T30" s="143"/>
      <c r="U30" s="143"/>
      <c r="W30">
        <f t="shared" si="9"/>
        <v>6</v>
      </c>
      <c r="X30">
        <f>10000*AA30+100*AB30+AE30</f>
        <v>0.1</v>
      </c>
      <c r="Y30" t="str">
        <f t="shared" si="11"/>
        <v>Geisterfahrer</v>
      </c>
      <c r="Z30">
        <f>IF(COUNT(H37:M37)=COUNT(M32:M37),COUNT(H37:M37),"")</f>
        <v>0</v>
      </c>
      <c r="AA30">
        <f t="shared" si="12"/>
        <v>0</v>
      </c>
      <c r="AB30">
        <f t="shared" si="13"/>
        <v>0</v>
      </c>
      <c r="AC30">
        <f>SUM(M32:M37)</f>
        <v>0</v>
      </c>
      <c r="AD30">
        <f t="shared" si="14"/>
        <v>0</v>
      </c>
      <c r="AE30">
        <v>0.1</v>
      </c>
    </row>
    <row r="31" spans="1:32" x14ac:dyDescent="0.25">
      <c r="A31" t="str">
        <f t="shared" si="8"/>
        <v>MJC Trier - Die LegionäreMJC Trier - Die Treverer</v>
      </c>
      <c r="B31" t="str">
        <f>Tippspiel!F61</f>
        <v>MJC Trier - Die Legionäre</v>
      </c>
      <c r="C31" t="str">
        <f>Tippspiel!K61</f>
        <v>MJC Trier - Die Treverer</v>
      </c>
      <c r="D31" t="str">
        <f>IF(ISNUMBER(Tippspiel!M61),Tippspiel!M61,"")</f>
        <v/>
      </c>
      <c r="E31" t="str">
        <f>IF(ISNUMBER(Tippspiel!O61),Tippspiel!O61,"")</f>
        <v/>
      </c>
      <c r="G31" s="142"/>
      <c r="H31" s="143"/>
      <c r="I31" s="143"/>
      <c r="J31" s="143"/>
      <c r="K31" s="143"/>
      <c r="L31" s="143"/>
      <c r="M31" s="143"/>
      <c r="O31" s="142"/>
      <c r="P31" s="143"/>
      <c r="Q31" s="143"/>
      <c r="R31" s="143"/>
      <c r="S31" s="143"/>
      <c r="T31" s="143"/>
      <c r="U31" s="143"/>
      <c r="Y31" t="b">
        <f>AND(Z31,AA31)</f>
        <v>0</v>
      </c>
      <c r="Z31" t="b">
        <f>SUM(Z25:Z30)=COUNT(Z25:Z30)*(COUNTA(Y25:Y30)-1)</f>
        <v>0</v>
      </c>
      <c r="AA31" t="b" cm="1">
        <f t="array" ref="AA31">OR(COUNTIF(AA25:AA30,AA25:AA30)&gt;1)</f>
        <v>1</v>
      </c>
    </row>
    <row r="32" spans="1:32" x14ac:dyDescent="0.25">
      <c r="A32" t="str">
        <f t="shared" si="8"/>
        <v>OnewheeleRSGeisterfahrer</v>
      </c>
      <c r="B32" t="str">
        <f>Tippspiel!F62</f>
        <v>OnewheeleRS</v>
      </c>
      <c r="C32" t="str">
        <f>Tippspiel!K62</f>
        <v>Geisterfahrer</v>
      </c>
      <c r="D32" t="str">
        <f>IF(ISNUMBER(Tippspiel!M62),Tippspiel!M62,"")</f>
        <v/>
      </c>
      <c r="E32" t="str">
        <f>IF(ISNUMBER(Tippspiel!O62),Tippspiel!O62,"")</f>
        <v/>
      </c>
      <c r="G32" t="str">
        <f>Tippspiel!C45</f>
        <v>OnewheeleRS</v>
      </c>
      <c r="H32" s="3"/>
      <c r="I32" t="str">
        <f>VLOOKUP($G32&amp;I$24,$A$24:$E$38,4,FALSE)</f>
        <v/>
      </c>
      <c r="J32" t="str">
        <f>VLOOKUP($G32&amp;J$24,$A$24:$E$38,4,FALSE)</f>
        <v/>
      </c>
      <c r="K32" t="str">
        <f>VLOOKUP($G32&amp;K$24,$A$24:$E$38,4,FALSE)</f>
        <v/>
      </c>
      <c r="L32" t="str">
        <f>VLOOKUP($G32&amp;L$24,$A$24:$E$38,4,FALSE)</f>
        <v/>
      </c>
      <c r="M32" t="str">
        <f>VLOOKUP($G32&amp;M$24,$A$24:$E$38,4,FALSE)</f>
        <v/>
      </c>
      <c r="O32" t="str">
        <f t="shared" ref="O32:O37" si="15">G32</f>
        <v>OnewheeleRS</v>
      </c>
      <c r="P32" s="3"/>
      <c r="Q32" t="str">
        <f>IF(AND(ISNUMBER(I32),ISNUMBER(H33)),IF(I32&gt;H33,3,IF(I32&lt;H33,0,1)),"")</f>
        <v/>
      </c>
      <c r="R32" t="str">
        <f>IF(AND(ISNUMBER(J32),ISNUMBER(H34)),IF(J32&gt;H34,3,IF(J32&lt;H34,0,1)),"")</f>
        <v/>
      </c>
      <c r="S32" t="str">
        <f>IF(AND(ISNUMBER(K32),ISNUMBER(H35)),IF(K32&gt;H35,3,IF(K32&lt;H35,0,1)),"")</f>
        <v/>
      </c>
      <c r="T32" t="str">
        <f>IF(AND(ISNUMBER(L32),ISNUMBER(H36)),IF(L32&gt;H36,3,IF(L32&lt;H36,0,1)),"")</f>
        <v/>
      </c>
      <c r="U32" t="str">
        <f>IF(AND(ISNUMBER(M32),ISNUMBER(H37)),IF(M32&gt;H37,3,IF(M32&lt;H37,0,1)),"")</f>
        <v/>
      </c>
    </row>
    <row r="33" spans="1:32" x14ac:dyDescent="0.25">
      <c r="A33" t="str">
        <f t="shared" si="8"/>
        <v>SKV Mörfelden UniThunderMJC Trier - Die Treverer</v>
      </c>
      <c r="B33" t="str">
        <f>Tippspiel!F63</f>
        <v>SKV Mörfelden UniThunder</v>
      </c>
      <c r="C33" t="str">
        <f>Tippspiel!K63</f>
        <v>MJC Trier - Die Treverer</v>
      </c>
      <c r="D33" t="str">
        <f>IF(ISNUMBER(Tippspiel!M63),Tippspiel!M63,"")</f>
        <v/>
      </c>
      <c r="E33" t="str">
        <f>IF(ISNUMBER(Tippspiel!O63),Tippspiel!O63,"")</f>
        <v/>
      </c>
      <c r="G33" t="str">
        <f>Tippspiel!C46</f>
        <v>Querrad</v>
      </c>
      <c r="H33" t="str">
        <f>VLOOKUP(H$24&amp;$G33,$A$24:$E$38,5,FALSE)</f>
        <v/>
      </c>
      <c r="I33" s="3"/>
      <c r="J33" t="str">
        <f>VLOOKUP($G33&amp;J$24,$A$24:$E$38,4,FALSE)</f>
        <v/>
      </c>
      <c r="K33" t="str">
        <f>VLOOKUP($G33&amp;K$24,$A$24:$E$38,4,FALSE)</f>
        <v/>
      </c>
      <c r="L33" t="str">
        <f>VLOOKUP($G33&amp;L$24,$A$24:$E$38,4,FALSE)</f>
        <v/>
      </c>
      <c r="M33" t="str">
        <f>VLOOKUP($G33&amp;M$24,$A$24:$E$38,4,FALSE)</f>
        <v/>
      </c>
      <c r="O33" t="str">
        <f t="shared" si="15"/>
        <v>Querrad</v>
      </c>
      <c r="P33" t="str">
        <f>IF(AND(ISNUMBER(H33),ISNUMBER(I32)),IF(H33&gt;I32,3,IF(H33&lt;I32,0,1)),"")</f>
        <v/>
      </c>
      <c r="Q33" s="3"/>
      <c r="R33" t="str">
        <f>IF(AND(ISNUMBER(J33),ISNUMBER(I34)),IF(J33&gt;I34,3,IF(J33&lt;I34,0,1)),"")</f>
        <v/>
      </c>
      <c r="S33" t="str">
        <f>IF(AND(ISNUMBER(K33),ISNUMBER(I35)),IF(K33&gt;I35,3,IF(K33&lt;I35,0,1)),"")</f>
        <v/>
      </c>
      <c r="T33" t="str">
        <f>IF(AND(ISNUMBER(L33),ISNUMBER(I36)),IF(L33&gt;I36,3,IF(L33&lt;I36,0,1)),"")</f>
        <v/>
      </c>
      <c r="U33" t="str">
        <f>IF(AND(ISNUMBER(M33),ISNUMBER(I37)),IF(M33&gt;I37,3,IF(M33&lt;I37,0,1)),"")</f>
        <v/>
      </c>
    </row>
    <row r="34" spans="1:32" x14ac:dyDescent="0.25">
      <c r="A34" t="str">
        <f t="shared" si="8"/>
        <v>QuerradGeisterfahrer</v>
      </c>
      <c r="B34" t="str">
        <f>Tippspiel!F64</f>
        <v>Querrad</v>
      </c>
      <c r="C34" t="str">
        <f>Tippspiel!K64</f>
        <v>Geisterfahrer</v>
      </c>
      <c r="D34" t="str">
        <f>IF(ISNUMBER(Tippspiel!M64),Tippspiel!M64,"")</f>
        <v/>
      </c>
      <c r="E34" t="str">
        <f>IF(ISNUMBER(Tippspiel!O64),Tippspiel!O64,"")</f>
        <v/>
      </c>
      <c r="G34" t="str">
        <f>Tippspiel!C47</f>
        <v>MJC Trier - Die Legionäre</v>
      </c>
      <c r="H34" t="str">
        <f>VLOOKUP(H$24&amp;$G34,$A$24:$E$38,5,FALSE)</f>
        <v/>
      </c>
      <c r="I34" t="str">
        <f>VLOOKUP(I$24&amp;$G34,$A$24:$E$38,5,FALSE)</f>
        <v/>
      </c>
      <c r="J34" s="3"/>
      <c r="K34" t="str">
        <f>VLOOKUP($G34&amp;K$24,$A$24:$E$38,4,FALSE)</f>
        <v/>
      </c>
      <c r="L34" t="str">
        <f>VLOOKUP($G34&amp;L$24,$A$24:$E$38,4,FALSE)</f>
        <v/>
      </c>
      <c r="M34" t="str">
        <f>VLOOKUP($G34&amp;M$24,$A$24:$E$38,4,FALSE)</f>
        <v/>
      </c>
      <c r="O34" t="str">
        <f t="shared" si="15"/>
        <v>MJC Trier - Die Legionäre</v>
      </c>
      <c r="P34" t="str">
        <f>IF(AND(ISNUMBER(H34),ISNUMBER(J32)),IF(H34&gt;J32,3,IF(H34&lt;J32,0,1)),"")</f>
        <v/>
      </c>
      <c r="Q34" t="str">
        <f>IF(AND(ISNUMBER(I34),ISNUMBER(J33)),IF(I34&gt;J33,3,IF(I34&lt;J33,0,1)),"")</f>
        <v/>
      </c>
      <c r="R34" s="3"/>
      <c r="S34" t="str">
        <f>IF(AND(ISNUMBER(K34),ISNUMBER(J35)),IF(K34&gt;J35,3,IF(K34&lt;J35,0,1)),"")</f>
        <v/>
      </c>
      <c r="T34" t="str">
        <f>IF(AND(ISNUMBER(L34),ISNUMBER(J36)),IF(L34&gt;J36,3,IF(L34&lt;J36,0,1)),"")</f>
        <v/>
      </c>
      <c r="U34" t="str">
        <f>IF(AND(ISNUMBER(M34),ISNUMBER(J37)),IF(M34&gt;J37,3,IF(M34&lt;J37,0,1)),"")</f>
        <v/>
      </c>
    </row>
    <row r="35" spans="1:32" x14ac:dyDescent="0.25">
      <c r="A35" t="str">
        <f t="shared" si="8"/>
        <v>OnewheeleRSMJC Trier - Die Legionäre</v>
      </c>
      <c r="B35" t="str">
        <f>Tippspiel!F65</f>
        <v>OnewheeleRS</v>
      </c>
      <c r="C35" t="str">
        <f>Tippspiel!K65</f>
        <v>MJC Trier - Die Legionäre</v>
      </c>
      <c r="D35" t="str">
        <f>IF(ISNUMBER(Tippspiel!M65),Tippspiel!M65,"")</f>
        <v/>
      </c>
      <c r="E35" t="str">
        <f>IF(ISNUMBER(Tippspiel!O65),Tippspiel!O65,"")</f>
        <v/>
      </c>
      <c r="G35" t="str">
        <f>Tippspiel!C48</f>
        <v>SKV Mörfelden UniThunder</v>
      </c>
      <c r="H35" t="str">
        <f>VLOOKUP(H$24&amp;$G35,$A$24:$E$38,5,FALSE)</f>
        <v/>
      </c>
      <c r="I35" t="str">
        <f>VLOOKUP(I$24&amp;$G35,$A$24:$E$38,5,FALSE)</f>
        <v/>
      </c>
      <c r="J35" t="str">
        <f>VLOOKUP(J$24&amp;$G35,$A$24:$E$38,5,FALSE)</f>
        <v/>
      </c>
      <c r="K35" s="3"/>
      <c r="L35" t="str">
        <f>VLOOKUP($G35&amp;L$24,$A$24:$E$38,4,FALSE)</f>
        <v/>
      </c>
      <c r="M35" t="str">
        <f>VLOOKUP($G35&amp;M$24,$A$24:$E$38,4,FALSE)</f>
        <v/>
      </c>
      <c r="O35" t="str">
        <f t="shared" si="15"/>
        <v>SKV Mörfelden UniThunder</v>
      </c>
      <c r="P35" t="str">
        <f>IF(AND(ISNUMBER(H35),ISNUMBER(K32)),IF(H35&gt;K32,3,IF(H35&lt;K32,0,1)),"")</f>
        <v/>
      </c>
      <c r="Q35" t="str">
        <f>IF(AND(ISNUMBER(I35),ISNUMBER(K33)),IF(I35&gt;K33,3,IF(I35&lt;K33,0,1)),"")</f>
        <v/>
      </c>
      <c r="R35" t="str">
        <f>IF(AND(ISNUMBER(J35),ISNUMBER(K34)),IF(J35&gt;K34,3,IF(J35&lt;K34,0,1)),"")</f>
        <v/>
      </c>
      <c r="S35" s="3"/>
      <c r="T35" t="str">
        <f>IF(AND(ISNUMBER(L35),ISNUMBER(K36)),IF(L35&gt;K36,3,IF(L35&lt;K36,0,1)),"")</f>
        <v/>
      </c>
      <c r="U35" t="str">
        <f>IF(AND(ISNUMBER(M35),ISNUMBER(K37)),IF(M35&gt;K37,3,IF(M35&lt;K37,0,1)),"")</f>
        <v/>
      </c>
    </row>
    <row r="36" spans="1:32" x14ac:dyDescent="0.25">
      <c r="A36" t="str">
        <f t="shared" si="8"/>
        <v>MJC Trier - Die TrevererGeisterfahrer</v>
      </c>
      <c r="B36" t="str">
        <f>Tippspiel!F66</f>
        <v>MJC Trier - Die Treverer</v>
      </c>
      <c r="C36" t="str">
        <f>Tippspiel!K66</f>
        <v>Geisterfahrer</v>
      </c>
      <c r="D36" t="str">
        <f>IF(ISNUMBER(Tippspiel!M66),Tippspiel!M66,"")</f>
        <v/>
      </c>
      <c r="E36" t="str">
        <f>IF(ISNUMBER(Tippspiel!O66),Tippspiel!O66,"")</f>
        <v/>
      </c>
      <c r="G36" t="str">
        <f>Tippspiel!C49</f>
        <v>MJC Trier - Die Treverer</v>
      </c>
      <c r="H36" t="str">
        <f>VLOOKUP(H$24&amp;$G36,$A$24:$E$38,5,FALSE)</f>
        <v/>
      </c>
      <c r="I36" t="str">
        <f>VLOOKUP(I$24&amp;$G36,$A$24:$E$38,5,FALSE)</f>
        <v/>
      </c>
      <c r="J36" t="str">
        <f>VLOOKUP(J$24&amp;$G36,$A$24:$E$38,5,FALSE)</f>
        <v/>
      </c>
      <c r="K36" t="str">
        <f>VLOOKUP(K$24&amp;$G36,$A$24:$E$38,5,FALSE)</f>
        <v/>
      </c>
      <c r="L36" s="3"/>
      <c r="M36" t="str">
        <f>VLOOKUP($G36&amp;M$24,$A$24:$E$38,4,FALSE)</f>
        <v/>
      </c>
      <c r="O36" t="str">
        <f t="shared" si="15"/>
        <v>MJC Trier - Die Treverer</v>
      </c>
      <c r="P36" t="str">
        <f>IF(AND(ISNUMBER(H36),ISNUMBER(L32)),IF(H36&gt;L32,3,IF(H36&lt;L32,0,1)),"")</f>
        <v/>
      </c>
      <c r="Q36" t="str">
        <f>IF(AND(ISNUMBER(I36),ISNUMBER(L33)),IF(I36&gt;L33,3,IF(I36&lt;L33,0,1)),"")</f>
        <v/>
      </c>
      <c r="R36" t="str">
        <f>IF(AND(ISNUMBER(J36),ISNUMBER(L34)),IF(J36&gt;L34,3,IF(J36&lt;L34,0,1)),"")</f>
        <v/>
      </c>
      <c r="S36" t="str">
        <f>IF(AND(ISNUMBER(K36),ISNUMBER(L35)),IF(K36&gt;L35,3,IF(K36&lt;L35,0,1)),"")</f>
        <v/>
      </c>
      <c r="T36" s="3"/>
      <c r="U36" t="str">
        <f>IF(AND(ISNUMBER(M36),ISNUMBER(L37)),IF(M36&gt;L37,3,IF(M36&lt;L37,0,1)),"")</f>
        <v/>
      </c>
    </row>
    <row r="37" spans="1:32" x14ac:dyDescent="0.25">
      <c r="A37" t="str">
        <f t="shared" si="8"/>
        <v>MJC Trier - Die LegionäreSKV Mörfelden UniThunder</v>
      </c>
      <c r="B37" t="str">
        <f>Tippspiel!F67</f>
        <v>MJC Trier - Die Legionäre</v>
      </c>
      <c r="C37" t="str">
        <f>Tippspiel!K67</f>
        <v>SKV Mörfelden UniThunder</v>
      </c>
      <c r="D37" t="str">
        <f>IF(ISNUMBER(Tippspiel!M67),Tippspiel!M67,"")</f>
        <v/>
      </c>
      <c r="E37" t="str">
        <f>IF(ISNUMBER(Tippspiel!O67),Tippspiel!O67,"")</f>
        <v/>
      </c>
      <c r="G37" t="str">
        <f>Tippspiel!C50</f>
        <v>Geisterfahrer</v>
      </c>
      <c r="H37" t="str">
        <f>VLOOKUP(H$24&amp;$G37,$A$24:$E$38,5,FALSE)</f>
        <v/>
      </c>
      <c r="I37" t="str">
        <f>VLOOKUP(I$24&amp;$G37,$A$24:$E$38,5,FALSE)</f>
        <v/>
      </c>
      <c r="J37" t="str">
        <f>VLOOKUP(J$24&amp;$G37,$A$24:$E$38,5,FALSE)</f>
        <v/>
      </c>
      <c r="K37" t="str">
        <f>VLOOKUP(K$24&amp;$G37,$A$24:$E$38,5,FALSE)</f>
        <v/>
      </c>
      <c r="L37" t="str">
        <f>VLOOKUP(L$24&amp;$G37,$A$24:$E$38,5,FALSE)</f>
        <v/>
      </c>
      <c r="M37" s="3"/>
      <c r="O37" t="str">
        <f t="shared" si="15"/>
        <v>Geisterfahrer</v>
      </c>
      <c r="P37" t="str">
        <f>IF(AND(ISNUMBER(H37),ISNUMBER(M32)),IF(H37&gt;M32,3,IF(H37&lt;M32,0,1)),"")</f>
        <v/>
      </c>
      <c r="Q37" t="str">
        <f>IF(AND(ISNUMBER(I37),ISNUMBER(M33)),IF(I37&gt;M33,3,IF(I37&lt;M33,0,1)),"")</f>
        <v/>
      </c>
      <c r="R37" t="str">
        <f>IF(AND(ISNUMBER(J37),ISNUMBER(M34)),IF(J37&gt;M34,3,IF(J37&lt;M34,0,1)),"")</f>
        <v/>
      </c>
      <c r="S37" t="str">
        <f>IF(AND(ISNUMBER(K37),ISNUMBER(M35)),IF(K37&gt;M35,3,IF(K37&lt;M35,0,1)),"")</f>
        <v/>
      </c>
      <c r="T37" t="str">
        <f>IF(AND(ISNUMBER(L37),ISNUMBER(M36)),IF(L37&gt;M36,3,IF(L37&lt;M36,0,1)),"")</f>
        <v/>
      </c>
      <c r="U37" s="3"/>
    </row>
    <row r="38" spans="1:32" x14ac:dyDescent="0.25">
      <c r="A38" t="str">
        <f t="shared" si="8"/>
        <v>OnewheeleRSQuerrad</v>
      </c>
      <c r="B38" t="str">
        <f>Tippspiel!F68</f>
        <v>OnewheeleRS</v>
      </c>
      <c r="C38" t="str">
        <f>Tippspiel!K68</f>
        <v>Querrad</v>
      </c>
      <c r="D38" t="str">
        <f>IF(ISNUMBER(Tippspiel!M68),Tippspiel!M68,"")</f>
        <v/>
      </c>
      <c r="E38" t="str">
        <f>IF(ISNUMBER(Tippspiel!O68),Tippspiel!O68,"")</f>
        <v/>
      </c>
    </row>
    <row r="41" spans="1:32" x14ac:dyDescent="0.25">
      <c r="A41" s="144" t="s">
        <v>37</v>
      </c>
      <c r="B41" s="144"/>
      <c r="C41" s="144"/>
      <c r="D41" s="144"/>
      <c r="E41" s="144"/>
      <c r="F41" s="144"/>
      <c r="G41" s="144"/>
      <c r="H41" s="144"/>
      <c r="I41" s="144"/>
      <c r="J41" s="144"/>
      <c r="K41" s="144"/>
      <c r="L41" s="144"/>
      <c r="M41" s="144"/>
      <c r="N41" s="144"/>
      <c r="O41" s="144"/>
      <c r="P41" s="144"/>
      <c r="Q41" s="144"/>
      <c r="R41" s="144"/>
      <c r="S41" s="144"/>
      <c r="T41" s="144"/>
      <c r="U41" s="144"/>
      <c r="V41" s="144"/>
      <c r="W41" s="144"/>
      <c r="X41" s="144"/>
      <c r="Y41" s="144"/>
      <c r="Z41" s="144"/>
      <c r="AA41" s="144"/>
      <c r="AB41" s="144"/>
      <c r="AC41" s="144"/>
      <c r="AD41" s="144"/>
      <c r="AE41" s="144"/>
      <c r="AF41" s="144"/>
    </row>
    <row r="42" spans="1:32" x14ac:dyDescent="0.25">
      <c r="A42" s="141" t="s">
        <v>38</v>
      </c>
      <c r="B42" s="141"/>
      <c r="C42" s="141"/>
      <c r="D42" s="141"/>
      <c r="E42" s="141"/>
      <c r="F42" s="141"/>
      <c r="G42" s="141"/>
      <c r="H42" s="141"/>
      <c r="I42" s="141"/>
      <c r="J42" s="141"/>
      <c r="K42" s="141"/>
      <c r="L42" s="141"/>
      <c r="M42" s="141"/>
      <c r="N42" s="141"/>
      <c r="O42" s="141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</row>
    <row r="44" spans="1:32" x14ac:dyDescent="0.25">
      <c r="A44" t="e">
        <f>RANK(C44,$C$44:$C$45,1)</f>
        <v>#N/A</v>
      </c>
      <c r="B44">
        <f>Vergleich!C6</f>
        <v>0</v>
      </c>
      <c r="C44" t="e">
        <f>MATCH(B44,Tippspiel!$B$124:$B$135,0)</f>
        <v>#N/A</v>
      </c>
      <c r="G44" s="142" t="s">
        <v>27</v>
      </c>
      <c r="H44" s="143" t="e">
        <f>G52</f>
        <v>#N/A</v>
      </c>
      <c r="I44" s="143" t="e">
        <f>G53</f>
        <v>#N/A</v>
      </c>
      <c r="O44" s="142" t="s">
        <v>26</v>
      </c>
      <c r="P44" s="143" t="e">
        <f>H44</f>
        <v>#N/A</v>
      </c>
      <c r="Q44" s="143" t="e">
        <f>I44</f>
        <v>#N/A</v>
      </c>
      <c r="Y44" s="2" t="s">
        <v>33</v>
      </c>
      <c r="Z44" s="2" t="s">
        <v>25</v>
      </c>
      <c r="AA44" s="2" t="s">
        <v>26</v>
      </c>
      <c r="AB44" s="2" t="s">
        <v>27</v>
      </c>
      <c r="AC44" s="2" t="s">
        <v>28</v>
      </c>
      <c r="AD44" s="2" t="s">
        <v>31</v>
      </c>
      <c r="AE44" s="2" t="s">
        <v>32</v>
      </c>
    </row>
    <row r="45" spans="1:32" x14ac:dyDescent="0.25">
      <c r="A45" t="e">
        <f>RANK(C45,$C$44:$C$45,1)</f>
        <v>#N/A</v>
      </c>
      <c r="B45">
        <f>Vergleich!C7</f>
        <v>0</v>
      </c>
      <c r="C45" t="e">
        <f>MATCH(B45,Tippspiel!$B$124:$B$135,0)</f>
        <v>#N/A</v>
      </c>
      <c r="G45" s="142"/>
      <c r="H45" s="143"/>
      <c r="I45" s="143"/>
      <c r="O45" s="142"/>
      <c r="P45" s="143"/>
      <c r="Q45" s="143"/>
      <c r="W45" t="e">
        <f>RANK(X45,$X$45:$X$46)</f>
        <v>#N/A</v>
      </c>
      <c r="X45" t="e">
        <f>10000*AA45+100*AB45+AE45</f>
        <v>#N/A</v>
      </c>
      <c r="Y45" t="e">
        <f>G52</f>
        <v>#N/A</v>
      </c>
      <c r="Z45">
        <f>IF(COUNT($H52:$I52)=COUNT(H52:H53),COUNT($H52:$I52),"")</f>
        <v>0</v>
      </c>
      <c r="AA45">
        <f>SUM(P52:Q52)</f>
        <v>0</v>
      </c>
      <c r="AB45" t="e">
        <f>SUM(H52:I52)</f>
        <v>#N/A</v>
      </c>
      <c r="AC45" t="e">
        <f>SUM(H52:H53)</f>
        <v>#N/A</v>
      </c>
      <c r="AD45" t="e">
        <f>AB45-AC45</f>
        <v>#N/A</v>
      </c>
      <c r="AE45">
        <v>0.2</v>
      </c>
    </row>
    <row r="46" spans="1:32" x14ac:dyDescent="0.25">
      <c r="G46" s="142"/>
      <c r="H46" s="143"/>
      <c r="I46" s="143"/>
      <c r="O46" s="142"/>
      <c r="P46" s="143"/>
      <c r="Q46" s="143"/>
      <c r="W46" t="e">
        <f>RANK(X46,$X$45:$X$46)</f>
        <v>#N/A</v>
      </c>
      <c r="X46" t="e">
        <f>10000*AA46+100*AB46+AE46</f>
        <v>#N/A</v>
      </c>
      <c r="Y46" t="e">
        <f>G53</f>
        <v>#N/A</v>
      </c>
      <c r="Z46">
        <f>IF(COUNT($H53:$I53)=COUNT(I52:I53),COUNT($H53:$I53),"")</f>
        <v>0</v>
      </c>
      <c r="AA46">
        <f>SUM(P53:Q53)</f>
        <v>0</v>
      </c>
      <c r="AB46" t="e">
        <f>SUM(H53:I53)</f>
        <v>#N/A</v>
      </c>
      <c r="AC46" t="e">
        <f>SUM(I52:I53)</f>
        <v>#N/A</v>
      </c>
      <c r="AD46" t="e">
        <f t="shared" ref="AD46" si="16">AB46-AC46</f>
        <v>#N/A</v>
      </c>
      <c r="AE46">
        <v>0.1</v>
      </c>
    </row>
    <row r="47" spans="1:32" x14ac:dyDescent="0.25">
      <c r="A47">
        <v>1</v>
      </c>
      <c r="B47" t="e">
        <f>VLOOKUP(A47,$A$44:$C$45,2,FALSE)</f>
        <v>#N/A</v>
      </c>
      <c r="G47" s="142"/>
      <c r="H47" s="143"/>
      <c r="I47" s="143"/>
      <c r="O47" s="142"/>
      <c r="P47" s="143"/>
      <c r="Q47" s="143"/>
    </row>
    <row r="48" spans="1:32" x14ac:dyDescent="0.25">
      <c r="A48">
        <v>2</v>
      </c>
      <c r="B48" t="e">
        <f>VLOOKUP(A48,$A$44:$C$45,2,FALSE)</f>
        <v>#N/A</v>
      </c>
      <c r="G48" s="142"/>
      <c r="H48" s="143"/>
      <c r="I48" s="143"/>
      <c r="O48" s="142"/>
      <c r="P48" s="143"/>
      <c r="Q48" s="143"/>
    </row>
    <row r="49" spans="1:32" x14ac:dyDescent="0.25">
      <c r="G49" s="142"/>
      <c r="H49" s="143"/>
      <c r="I49" s="143"/>
      <c r="O49" s="142"/>
      <c r="P49" s="143"/>
      <c r="Q49" s="143"/>
    </row>
    <row r="50" spans="1:32" x14ac:dyDescent="0.25">
      <c r="G50" s="142"/>
      <c r="H50" s="143"/>
      <c r="I50" s="143"/>
      <c r="O50" s="142"/>
      <c r="P50" s="143"/>
      <c r="Q50" s="143"/>
    </row>
    <row r="51" spans="1:32" x14ac:dyDescent="0.25">
      <c r="G51" s="142"/>
      <c r="H51" s="143"/>
      <c r="I51" s="143"/>
      <c r="O51" s="142"/>
      <c r="P51" s="143"/>
      <c r="Q51" s="143"/>
    </row>
    <row r="52" spans="1:32" x14ac:dyDescent="0.25">
      <c r="G52" t="e">
        <f>B47</f>
        <v>#N/A</v>
      </c>
      <c r="H52" s="3"/>
      <c r="I52" t="e">
        <f>VLOOKUP($G52&amp;I$44,$A$5:$E$19,4,FALSE)</f>
        <v>#N/A</v>
      </c>
      <c r="O52" t="e">
        <f>G52</f>
        <v>#N/A</v>
      </c>
      <c r="P52" s="3"/>
      <c r="Q52" t="str">
        <f>IF(AND(ISNUMBER(I52),ISNUMBER(H53)),IF(I52&gt;H53,3,IF(I52&lt;H53,0,1)),"")</f>
        <v/>
      </c>
    </row>
    <row r="53" spans="1:32" x14ac:dyDescent="0.25">
      <c r="G53" t="e">
        <f>B48</f>
        <v>#N/A</v>
      </c>
      <c r="H53" t="e">
        <f>VLOOKUP(H$44&amp;$G53,$A$5:$E$19,5,FALSE)</f>
        <v>#N/A</v>
      </c>
      <c r="I53" s="3"/>
      <c r="O53" t="e">
        <f>G53</f>
        <v>#N/A</v>
      </c>
      <c r="P53" t="str">
        <f>IF(AND(ISNUMBER(H53),ISNUMBER(I52)),IF(H53&gt;I52,3,IF(H53&lt;I52,0,1)),"")</f>
        <v/>
      </c>
      <c r="Q53" s="3"/>
    </row>
    <row r="57" spans="1:32" x14ac:dyDescent="0.25">
      <c r="A57" s="141" t="s">
        <v>43</v>
      </c>
      <c r="B57" s="141"/>
      <c r="C57" s="141"/>
      <c r="D57" s="141"/>
      <c r="E57" s="141"/>
      <c r="F57" s="141"/>
      <c r="G57" s="141"/>
      <c r="H57" s="141"/>
      <c r="I57" s="141"/>
      <c r="J57" s="141"/>
      <c r="K57" s="141"/>
      <c r="L57" s="141"/>
      <c r="M57" s="141"/>
      <c r="N57" s="141"/>
      <c r="O57" s="141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</row>
    <row r="59" spans="1:32" ht="15" customHeight="1" x14ac:dyDescent="0.25">
      <c r="A59" t="e">
        <f>RANK(C59,$C$59:$C$61,1)</f>
        <v>#N/A</v>
      </c>
      <c r="B59">
        <f>Vergleich!C16</f>
        <v>0</v>
      </c>
      <c r="C59" t="e">
        <f>MATCH(B59,Tippspiel!$B$124:$B$135,0)</f>
        <v>#N/A</v>
      </c>
      <c r="D59" t="str">
        <f ca="1">IFERROR(VLOOKUP($A59,INDIRECT(#REF!),COLUMN(),FALSE),"")</f>
        <v/>
      </c>
      <c r="E59" t="str">
        <f ca="1">IFERROR(VLOOKUP($A59,INDIRECT(#REF!),COLUMN(),FALSE),"")</f>
        <v/>
      </c>
      <c r="G59" s="142" t="s">
        <v>27</v>
      </c>
      <c r="H59" s="143" t="e">
        <f>G67</f>
        <v>#N/A</v>
      </c>
      <c r="I59" s="143" t="e">
        <f>G68</f>
        <v>#N/A</v>
      </c>
      <c r="J59" s="143" t="e">
        <f>G69</f>
        <v>#N/A</v>
      </c>
      <c r="O59" s="142" t="s">
        <v>26</v>
      </c>
      <c r="P59" s="143" t="e">
        <f>H59</f>
        <v>#N/A</v>
      </c>
      <c r="Q59" s="143" t="e">
        <f>I59</f>
        <v>#N/A</v>
      </c>
      <c r="R59" s="143" t="e">
        <f>J59</f>
        <v>#N/A</v>
      </c>
      <c r="Y59" s="2" t="s">
        <v>33</v>
      </c>
      <c r="Z59" s="2" t="s">
        <v>25</v>
      </c>
      <c r="AA59" s="2" t="s">
        <v>26</v>
      </c>
      <c r="AB59" s="2" t="s">
        <v>27</v>
      </c>
      <c r="AC59" s="2" t="s">
        <v>28</v>
      </c>
      <c r="AD59" s="2" t="s">
        <v>31</v>
      </c>
      <c r="AE59" s="2" t="s">
        <v>32</v>
      </c>
    </row>
    <row r="60" spans="1:32" x14ac:dyDescent="0.25">
      <c r="A60" t="e">
        <f t="shared" ref="A60:A61" si="17">RANK(C60,$C$59:$C$61,1)</f>
        <v>#N/A</v>
      </c>
      <c r="B60">
        <f>Vergleich!C17</f>
        <v>0</v>
      </c>
      <c r="C60" t="e">
        <f>MATCH(B60,Tippspiel!$B$124:$B$135,0)</f>
        <v>#N/A</v>
      </c>
      <c r="D60" t="str">
        <f ca="1">IFERROR(VLOOKUP($A60,INDIRECT(#REF!),COLUMN(),FALSE),"")</f>
        <v/>
      </c>
      <c r="E60" t="str">
        <f ca="1">IFERROR(VLOOKUP($A60,INDIRECT(#REF!),COLUMN(),FALSE),"")</f>
        <v/>
      </c>
      <c r="G60" s="142"/>
      <c r="H60" s="143"/>
      <c r="I60" s="143"/>
      <c r="J60" s="143"/>
      <c r="O60" s="142"/>
      <c r="P60" s="143"/>
      <c r="Q60" s="143"/>
      <c r="R60" s="143"/>
      <c r="W60" t="e">
        <f>RANK(X60,$X$60:$X$62)</f>
        <v>#N/A</v>
      </c>
      <c r="X60" t="e">
        <f>10000*AA60+100*AB60+AE60</f>
        <v>#N/A</v>
      </c>
      <c r="Y60" t="e">
        <f>G67</f>
        <v>#N/A</v>
      </c>
      <c r="Z60">
        <f>IF(COUNT($H67:$J67)=COUNT(H67:H69),COUNT($H67:$J67),"")</f>
        <v>0</v>
      </c>
      <c r="AA60">
        <f>SUM(P67:R67)</f>
        <v>0</v>
      </c>
      <c r="AB60" t="e">
        <f>SUM(H67:J67)</f>
        <v>#N/A</v>
      </c>
      <c r="AC60" t="e">
        <f>SUM(H67:H69)</f>
        <v>#N/A</v>
      </c>
      <c r="AD60" t="e">
        <f>AB60-AC60</f>
        <v>#N/A</v>
      </c>
      <c r="AE60">
        <v>0.3</v>
      </c>
    </row>
    <row r="61" spans="1:32" x14ac:dyDescent="0.25">
      <c r="A61" t="e">
        <f t="shared" si="17"/>
        <v>#N/A</v>
      </c>
      <c r="B61">
        <f>Vergleich!C18</f>
        <v>0</v>
      </c>
      <c r="C61" t="e">
        <f>MATCH(B61,Tippspiel!$B$124:$B$135,0)</f>
        <v>#N/A</v>
      </c>
      <c r="D61" t="str">
        <f ca="1">IFERROR(VLOOKUP($A61,INDIRECT(#REF!),COLUMN(),FALSE),"")</f>
        <v/>
      </c>
      <c r="E61" t="str">
        <f ca="1">IFERROR(VLOOKUP($A61,INDIRECT(#REF!),COLUMN(),FALSE),"")</f>
        <v/>
      </c>
      <c r="G61" s="142"/>
      <c r="H61" s="143"/>
      <c r="I61" s="143"/>
      <c r="J61" s="143"/>
      <c r="O61" s="142"/>
      <c r="P61" s="143"/>
      <c r="Q61" s="143"/>
      <c r="R61" s="143"/>
      <c r="W61" t="e">
        <f>RANK(X61,$X$60:$X$62)</f>
        <v>#N/A</v>
      </c>
      <c r="X61" t="e">
        <f>10000*AA61+100*AB61+AE61</f>
        <v>#N/A</v>
      </c>
      <c r="Y61" t="e">
        <f>G68</f>
        <v>#N/A</v>
      </c>
      <c r="Z61">
        <f>IF(COUNT($H68:$J68)=COUNT(I67:I69),COUNT($H68:$J68),"")</f>
        <v>0</v>
      </c>
      <c r="AA61">
        <f>SUM(P68:R68)</f>
        <v>0</v>
      </c>
      <c r="AB61" t="e">
        <f>SUM(H68:J68)</f>
        <v>#N/A</v>
      </c>
      <c r="AC61" t="e">
        <f>SUM(I67:I69)</f>
        <v>#N/A</v>
      </c>
      <c r="AD61" t="e">
        <f t="shared" ref="AD61:AD62" si="18">AB61-AC61</f>
        <v>#N/A</v>
      </c>
      <c r="AE61">
        <v>0.2</v>
      </c>
    </row>
    <row r="62" spans="1:32" x14ac:dyDescent="0.25">
      <c r="D62" t="str">
        <f ca="1">IFERROR(VLOOKUP($A62,INDIRECT(#REF!),COLUMN(),FALSE),"")</f>
        <v/>
      </c>
      <c r="E62" t="str">
        <f ca="1">IFERROR(VLOOKUP($A62,INDIRECT(#REF!),COLUMN(),FALSE),"")</f>
        <v/>
      </c>
      <c r="G62" s="142"/>
      <c r="H62" s="143"/>
      <c r="I62" s="143"/>
      <c r="J62" s="143"/>
      <c r="O62" s="142"/>
      <c r="P62" s="143"/>
      <c r="Q62" s="143"/>
      <c r="R62" s="143"/>
      <c r="W62" t="e">
        <f>RANK(X62,$X$60:$X$62)</f>
        <v>#N/A</v>
      </c>
      <c r="X62" t="e">
        <f>10000*AA62+100*AB62+AE62</f>
        <v>#N/A</v>
      </c>
      <c r="Y62" t="e">
        <f>G69</f>
        <v>#N/A</v>
      </c>
      <c r="Z62">
        <f>IF(COUNT($H69:$J69)=COUNT(J67:J69),COUNT($H69:$J69),"")</f>
        <v>0</v>
      </c>
      <c r="AA62">
        <f>SUM(P69:R69)</f>
        <v>0</v>
      </c>
      <c r="AB62" t="e">
        <f>SUM(H69:J69)</f>
        <v>#N/A</v>
      </c>
      <c r="AC62" t="e">
        <f>SUM(J67:J69)</f>
        <v>#N/A</v>
      </c>
      <c r="AD62" t="e">
        <f t="shared" si="18"/>
        <v>#N/A</v>
      </c>
      <c r="AE62">
        <v>0.1</v>
      </c>
    </row>
    <row r="63" spans="1:32" x14ac:dyDescent="0.25">
      <c r="A63">
        <v>1</v>
      </c>
      <c r="B63" t="e">
        <f>VLOOKUP(A63,$A$59:$C$61,2,FALSE)</f>
        <v>#N/A</v>
      </c>
      <c r="D63" t="str">
        <f ca="1">IFERROR(VLOOKUP($A63,INDIRECT(#REF!),COLUMN(),FALSE),"")</f>
        <v/>
      </c>
      <c r="E63" t="str">
        <f ca="1">IFERROR(VLOOKUP($A63,INDIRECT(#REF!),COLUMN(),FALSE),"")</f>
        <v/>
      </c>
      <c r="G63" s="142"/>
      <c r="H63" s="143"/>
      <c r="I63" s="143"/>
      <c r="J63" s="143"/>
      <c r="O63" s="142"/>
      <c r="P63" s="143"/>
      <c r="Q63" s="143"/>
      <c r="R63" s="143"/>
    </row>
    <row r="64" spans="1:32" x14ac:dyDescent="0.25">
      <c r="A64">
        <v>2</v>
      </c>
      <c r="B64" t="e">
        <f t="shared" ref="B64:B65" si="19">VLOOKUP(A64,$A$59:$C$61,2,FALSE)</f>
        <v>#N/A</v>
      </c>
      <c r="D64" t="str">
        <f ca="1">IFERROR(VLOOKUP($A64,INDIRECT(#REF!),COLUMN(),FALSE),"")</f>
        <v/>
      </c>
      <c r="E64" t="str">
        <f ca="1">IFERROR(VLOOKUP($A64,INDIRECT(#REF!),COLUMN(),FALSE),"")</f>
        <v/>
      </c>
      <c r="G64" s="142"/>
      <c r="H64" s="143"/>
      <c r="I64" s="143"/>
      <c r="J64" s="143"/>
      <c r="O64" s="142"/>
      <c r="P64" s="143"/>
      <c r="Q64" s="143"/>
      <c r="R64" s="143"/>
    </row>
    <row r="65" spans="1:32" x14ac:dyDescent="0.25">
      <c r="A65">
        <v>3</v>
      </c>
      <c r="B65" t="e">
        <f t="shared" si="19"/>
        <v>#N/A</v>
      </c>
      <c r="D65" t="str">
        <f ca="1">IFERROR(VLOOKUP($A65,INDIRECT(#REF!),COLUMN(),FALSE),"")</f>
        <v/>
      </c>
      <c r="E65" t="str">
        <f ca="1">IFERROR(VLOOKUP($A65,INDIRECT(#REF!),COLUMN(),FALSE),"")</f>
        <v/>
      </c>
      <c r="G65" s="142"/>
      <c r="H65" s="143"/>
      <c r="I65" s="143"/>
      <c r="J65" s="143"/>
      <c r="O65" s="142"/>
      <c r="P65" s="143"/>
      <c r="Q65" s="143"/>
      <c r="R65" s="143"/>
    </row>
    <row r="66" spans="1:32" x14ac:dyDescent="0.25">
      <c r="D66" t="str">
        <f ca="1">IFERROR(VLOOKUP($A66,INDIRECT(#REF!),COLUMN(),FALSE),"")</f>
        <v/>
      </c>
      <c r="E66" t="str">
        <f ca="1">IFERROR(VLOOKUP($A66,INDIRECT(#REF!),COLUMN(),FALSE),"")</f>
        <v/>
      </c>
      <c r="G66" s="142"/>
      <c r="H66" s="143"/>
      <c r="I66" s="143"/>
      <c r="J66" s="143"/>
      <c r="O66" s="142"/>
      <c r="P66" s="143"/>
      <c r="Q66" s="143"/>
      <c r="R66" s="143"/>
    </row>
    <row r="67" spans="1:32" x14ac:dyDescent="0.25">
      <c r="D67" t="str">
        <f ca="1">IFERROR(VLOOKUP($A67,INDIRECT(#REF!),COLUMN(),FALSE),"")</f>
        <v/>
      </c>
      <c r="E67" t="str">
        <f ca="1">IFERROR(VLOOKUP($A67,INDIRECT(#REF!),COLUMN(),FALSE),"")</f>
        <v/>
      </c>
      <c r="G67" t="e">
        <f t="shared" ref="G67:G69" si="20">B63</f>
        <v>#N/A</v>
      </c>
      <c r="H67" s="3"/>
      <c r="I67" t="e">
        <f>VLOOKUP($G67&amp;I$59,$A$5:$E$19,4,FALSE)</f>
        <v>#N/A</v>
      </c>
      <c r="J67" t="e">
        <f>VLOOKUP($G67&amp;J$59,$A$5:$E$19,4,FALSE)</f>
        <v>#N/A</v>
      </c>
      <c r="O67" t="e">
        <f>G67</f>
        <v>#N/A</v>
      </c>
      <c r="P67" s="3"/>
      <c r="Q67" t="str">
        <f>IF(AND(ISNUMBER(I67),ISNUMBER(H68)),IF(I67&gt;H68,3,IF(I67&lt;H68,0,1)),"")</f>
        <v/>
      </c>
      <c r="R67" t="str">
        <f>IF(AND(ISNUMBER(J67),ISNUMBER(H69)),IF(J67&gt;H69,3,IF(J67&lt;H69,0,1)),"")</f>
        <v/>
      </c>
    </row>
    <row r="68" spans="1:32" x14ac:dyDescent="0.25">
      <c r="D68" t="str">
        <f ca="1">IFERROR(VLOOKUP($A68,INDIRECT(#REF!),COLUMN(),FALSE),"")</f>
        <v/>
      </c>
      <c r="E68" t="str">
        <f ca="1">IFERROR(VLOOKUP($A68,INDIRECT(#REF!),COLUMN(),FALSE),"")</f>
        <v/>
      </c>
      <c r="G68" t="e">
        <f t="shared" si="20"/>
        <v>#N/A</v>
      </c>
      <c r="H68" t="e">
        <f>VLOOKUP(H$59&amp;$G68,$A$5:$E$19,5,FALSE)</f>
        <v>#N/A</v>
      </c>
      <c r="I68" s="3"/>
      <c r="J68" t="e">
        <f>VLOOKUP($G68&amp;J$59,$A$5:$E$19,4,FALSE)</f>
        <v>#N/A</v>
      </c>
      <c r="O68" t="e">
        <f>G68</f>
        <v>#N/A</v>
      </c>
      <c r="P68" t="str">
        <f>IF(AND(ISNUMBER(H68),ISNUMBER(I67)),IF(H68&gt;I67,3,IF(H68&lt;I67,0,1)),"")</f>
        <v/>
      </c>
      <c r="Q68" s="3"/>
      <c r="R68" t="str">
        <f>IF(AND(ISNUMBER(J68),ISNUMBER(I69)),IF(J68&gt;I69,3,IF(J68&lt;I69,0,1)),"")</f>
        <v/>
      </c>
    </row>
    <row r="69" spans="1:32" x14ac:dyDescent="0.25">
      <c r="D69" t="str">
        <f ca="1">IFERROR(VLOOKUP($A69,INDIRECT(#REF!),COLUMN(),FALSE),"")</f>
        <v/>
      </c>
      <c r="E69" t="str">
        <f ca="1">IFERROR(VLOOKUP($A69,INDIRECT(#REF!),COLUMN(),FALSE),"")</f>
        <v/>
      </c>
      <c r="G69" t="e">
        <f t="shared" si="20"/>
        <v>#N/A</v>
      </c>
      <c r="H69" t="e">
        <f>VLOOKUP(H$59&amp;$G69,$A$5:$E$19,5,FALSE)</f>
        <v>#N/A</v>
      </c>
      <c r="I69" t="e">
        <f>VLOOKUP(I$59&amp;$G69,$A$5:$E$19,5,FALSE)</f>
        <v>#N/A</v>
      </c>
      <c r="J69" s="3"/>
      <c r="O69" t="e">
        <f>G69</f>
        <v>#N/A</v>
      </c>
      <c r="P69" t="str">
        <f>IF(AND(ISNUMBER(H69),ISNUMBER(J67)),IF(H69&gt;J67,3,IF(H69&lt;J67,0,1)),"")</f>
        <v/>
      </c>
      <c r="Q69" t="str">
        <f>IF(AND(ISNUMBER(I69),ISNUMBER(J68)),IF(I69&gt;J68,3,IF(I69&lt;J68,0,1)),"")</f>
        <v/>
      </c>
      <c r="R69" s="3"/>
    </row>
    <row r="70" spans="1:32" x14ac:dyDescent="0.25">
      <c r="D70" t="str">
        <f ca="1">IFERROR(VLOOKUP($A70,INDIRECT(#REF!),COLUMN(),FALSE),"")</f>
        <v/>
      </c>
      <c r="E70" t="str">
        <f ca="1">IFERROR(VLOOKUP($A70,INDIRECT(#REF!),COLUMN(),FALSE),"")</f>
        <v/>
      </c>
    </row>
    <row r="73" spans="1:32" x14ac:dyDescent="0.25">
      <c r="A73" s="141" t="s">
        <v>46</v>
      </c>
      <c r="B73" s="141"/>
      <c r="C73" s="141"/>
      <c r="D73" s="141"/>
      <c r="E73" s="141"/>
      <c r="F73" s="141"/>
      <c r="G73" s="141"/>
      <c r="H73" s="141"/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141"/>
      <c r="T73" s="141"/>
      <c r="U73" s="141"/>
      <c r="V73" s="141"/>
      <c r="W73" s="141"/>
      <c r="X73" s="141"/>
      <c r="Y73" s="141"/>
      <c r="Z73" s="141"/>
      <c r="AA73" s="141"/>
      <c r="AB73" s="141"/>
      <c r="AC73" s="141"/>
      <c r="AD73" s="141"/>
      <c r="AE73" s="141"/>
      <c r="AF73" s="141"/>
    </row>
    <row r="75" spans="1:32" x14ac:dyDescent="0.25">
      <c r="A75" t="e">
        <f>RANK(C75,$C$75:$C$78,1)</f>
        <v>#N/A</v>
      </c>
      <c r="B75">
        <f>Vergleich!C28</f>
        <v>0</v>
      </c>
      <c r="C75" t="e">
        <f>MATCH(B75,Tippspiel!$B$124:$B$135,0)</f>
        <v>#N/A</v>
      </c>
      <c r="G75" s="142" t="s">
        <v>27</v>
      </c>
      <c r="H75" s="143" t="e">
        <f>G83</f>
        <v>#N/A</v>
      </c>
      <c r="I75" s="143" t="e">
        <f>G84</f>
        <v>#N/A</v>
      </c>
      <c r="J75" s="143" t="e">
        <f>G85</f>
        <v>#N/A</v>
      </c>
      <c r="K75" s="143" t="e">
        <f>G86</f>
        <v>#N/A</v>
      </c>
      <c r="O75" s="142" t="s">
        <v>26</v>
      </c>
      <c r="P75" s="143" t="e">
        <f>H75</f>
        <v>#N/A</v>
      </c>
      <c r="Q75" s="143" t="e">
        <f>I75</f>
        <v>#N/A</v>
      </c>
      <c r="R75" s="143" t="e">
        <f>J75</f>
        <v>#N/A</v>
      </c>
      <c r="S75" s="143" t="e">
        <f>K75</f>
        <v>#N/A</v>
      </c>
      <c r="Y75" s="2" t="s">
        <v>33</v>
      </c>
      <c r="Z75" s="2" t="s">
        <v>25</v>
      </c>
      <c r="AA75" s="2" t="s">
        <v>26</v>
      </c>
      <c r="AB75" s="2" t="s">
        <v>27</v>
      </c>
      <c r="AC75" s="2" t="s">
        <v>28</v>
      </c>
      <c r="AD75" s="2" t="s">
        <v>31</v>
      </c>
      <c r="AE75" s="2" t="s">
        <v>32</v>
      </c>
    </row>
    <row r="76" spans="1:32" x14ac:dyDescent="0.25">
      <c r="A76" t="e">
        <f>RANK(C76,$C$75:$C$78,1)</f>
        <v>#N/A</v>
      </c>
      <c r="B76">
        <f>Vergleich!C29</f>
        <v>0</v>
      </c>
      <c r="C76" t="e">
        <f>MATCH(B76,Tippspiel!$B$124:$B$135,0)</f>
        <v>#N/A</v>
      </c>
      <c r="G76" s="142"/>
      <c r="H76" s="143"/>
      <c r="I76" s="143"/>
      <c r="J76" s="143"/>
      <c r="K76" s="143"/>
      <c r="O76" s="142"/>
      <c r="P76" s="143"/>
      <c r="Q76" s="143"/>
      <c r="R76" s="143"/>
      <c r="S76" s="143"/>
      <c r="W76" t="e">
        <f>RANK(X76,$X$76:$X$79)</f>
        <v>#N/A</v>
      </c>
      <c r="X76" t="e">
        <f>10000*AA76+100*AB76+AE76</f>
        <v>#N/A</v>
      </c>
      <c r="Y76" t="e">
        <f>B80</f>
        <v>#N/A</v>
      </c>
      <c r="Z76">
        <f>IF(COUNT($H83:$K83)=COUNT(H83:H86),COUNT($H83:$K83),"")</f>
        <v>0</v>
      </c>
      <c r="AA76">
        <f>SUM(P83:S83)</f>
        <v>0</v>
      </c>
      <c r="AB76" t="e">
        <f>SUM(H83:K83)</f>
        <v>#N/A</v>
      </c>
      <c r="AC76" t="e">
        <f>SUM(H83:H86)</f>
        <v>#N/A</v>
      </c>
      <c r="AD76" t="e">
        <f t="shared" ref="AD76:AD79" si="21">AB76-AC76</f>
        <v>#N/A</v>
      </c>
      <c r="AE76">
        <v>0.4</v>
      </c>
    </row>
    <row r="77" spans="1:32" x14ac:dyDescent="0.25">
      <c r="A77" t="e">
        <f>RANK(C77,$C$75:$C$78,1)</f>
        <v>#N/A</v>
      </c>
      <c r="B77">
        <f>Vergleich!C30</f>
        <v>0</v>
      </c>
      <c r="C77" t="e">
        <f>MATCH(B77,Tippspiel!$B$124:$B$135,0)</f>
        <v>#N/A</v>
      </c>
      <c r="G77" s="142"/>
      <c r="H77" s="143"/>
      <c r="I77" s="143"/>
      <c r="J77" s="143"/>
      <c r="K77" s="143"/>
      <c r="O77" s="142"/>
      <c r="P77" s="143"/>
      <c r="Q77" s="143"/>
      <c r="R77" s="143"/>
      <c r="S77" s="143"/>
      <c r="W77" t="e">
        <f>RANK(X77,$X$76:$X$79)</f>
        <v>#N/A</v>
      </c>
      <c r="X77" t="e">
        <f>10000*AA77+100*AB77+AE77</f>
        <v>#N/A</v>
      </c>
      <c r="Y77" t="e">
        <f>B81</f>
        <v>#N/A</v>
      </c>
      <c r="Z77">
        <f>IF(COUNT($H84:$K84)=COUNT(I83:I86),COUNT($H84:$K84),"")</f>
        <v>0</v>
      </c>
      <c r="AA77">
        <f>SUM(P84:S84)</f>
        <v>0</v>
      </c>
      <c r="AB77" t="e">
        <f>SUM(H84:K84)</f>
        <v>#N/A</v>
      </c>
      <c r="AC77" t="e">
        <f>SUM(I83:I86)</f>
        <v>#N/A</v>
      </c>
      <c r="AD77" t="e">
        <f t="shared" si="21"/>
        <v>#N/A</v>
      </c>
      <c r="AE77">
        <v>0.3</v>
      </c>
    </row>
    <row r="78" spans="1:32" x14ac:dyDescent="0.25">
      <c r="A78" t="e">
        <f>RANK(C78,$C$75:$C$78,1)</f>
        <v>#N/A</v>
      </c>
      <c r="B78">
        <f>Vergleich!C31</f>
        <v>0</v>
      </c>
      <c r="C78" t="e">
        <f>MATCH(B78,Tippspiel!$B$124:$B$135,0)</f>
        <v>#N/A</v>
      </c>
      <c r="G78" s="142"/>
      <c r="H78" s="143"/>
      <c r="I78" s="143"/>
      <c r="J78" s="143"/>
      <c r="K78" s="143"/>
      <c r="O78" s="142"/>
      <c r="P78" s="143"/>
      <c r="Q78" s="143"/>
      <c r="R78" s="143"/>
      <c r="S78" s="143"/>
      <c r="W78" t="e">
        <f>RANK(X78,$X$76:$X$79)</f>
        <v>#N/A</v>
      </c>
      <c r="X78" t="e">
        <f>10000*AA78+100*AB78+AE78</f>
        <v>#N/A</v>
      </c>
      <c r="Y78" t="e">
        <f>B82</f>
        <v>#N/A</v>
      </c>
      <c r="Z78">
        <f>IF(COUNT($H85:$K85)=COUNT(J83:J86),COUNT($H85:$K85),"")</f>
        <v>0</v>
      </c>
      <c r="AA78">
        <f>SUM(P85:S85)</f>
        <v>0</v>
      </c>
      <c r="AB78" t="e">
        <f>SUM(H85:K85)</f>
        <v>#N/A</v>
      </c>
      <c r="AC78" t="e">
        <f>SUM(J83:J86)</f>
        <v>#N/A</v>
      </c>
      <c r="AD78" t="e">
        <f t="shared" si="21"/>
        <v>#N/A</v>
      </c>
      <c r="AE78">
        <v>0.2</v>
      </c>
    </row>
    <row r="79" spans="1:32" x14ac:dyDescent="0.25">
      <c r="G79" s="142"/>
      <c r="H79" s="143"/>
      <c r="I79" s="143"/>
      <c r="J79" s="143"/>
      <c r="K79" s="143"/>
      <c r="O79" s="142"/>
      <c r="P79" s="143"/>
      <c r="Q79" s="143"/>
      <c r="R79" s="143"/>
      <c r="S79" s="143"/>
      <c r="W79" t="e">
        <f>RANK(X79,$X$76:$X$79)</f>
        <v>#N/A</v>
      </c>
      <c r="X79" t="e">
        <f>10000*AA79+100*AB79+AE79</f>
        <v>#N/A</v>
      </c>
      <c r="Y79" t="e">
        <f>B83</f>
        <v>#N/A</v>
      </c>
      <c r="Z79">
        <f>IF(COUNT($H86:$K86)=COUNT(K83:K86),COUNT($H86:$K86),"")</f>
        <v>0</v>
      </c>
      <c r="AA79">
        <f>SUM(P86:S86)</f>
        <v>0</v>
      </c>
      <c r="AB79" t="e">
        <f>SUM(H86:K86)</f>
        <v>#N/A</v>
      </c>
      <c r="AC79" t="e">
        <f>SUM(K83:K86)</f>
        <v>#N/A</v>
      </c>
      <c r="AD79" t="e">
        <f t="shared" si="21"/>
        <v>#N/A</v>
      </c>
      <c r="AE79">
        <v>0.1</v>
      </c>
    </row>
    <row r="80" spans="1:32" x14ac:dyDescent="0.25">
      <c r="A80">
        <v>1</v>
      </c>
      <c r="B80" t="e">
        <f>VLOOKUP(A80,$A$75:$C$78,2,FALSE)</f>
        <v>#N/A</v>
      </c>
      <c r="G80" s="142"/>
      <c r="H80" s="143"/>
      <c r="I80" s="143"/>
      <c r="J80" s="143"/>
      <c r="K80" s="143"/>
      <c r="O80" s="142"/>
      <c r="P80" s="143"/>
      <c r="Q80" s="143"/>
      <c r="R80" s="143"/>
      <c r="S80" s="143"/>
    </row>
    <row r="81" spans="1:32" x14ac:dyDescent="0.25">
      <c r="A81">
        <v>2</v>
      </c>
      <c r="B81" t="e">
        <f t="shared" ref="B81:B83" si="22">VLOOKUP(A81,$A$75:$C$78,2,FALSE)</f>
        <v>#N/A</v>
      </c>
      <c r="G81" s="142"/>
      <c r="H81" s="143"/>
      <c r="I81" s="143"/>
      <c r="J81" s="143"/>
      <c r="K81" s="143"/>
      <c r="O81" s="142"/>
      <c r="P81" s="143"/>
      <c r="Q81" s="143"/>
      <c r="R81" s="143"/>
      <c r="S81" s="143"/>
    </row>
    <row r="82" spans="1:32" x14ac:dyDescent="0.25">
      <c r="A82">
        <v>3</v>
      </c>
      <c r="B82" t="e">
        <f t="shared" si="22"/>
        <v>#N/A</v>
      </c>
      <c r="G82" s="142"/>
      <c r="H82" s="143"/>
      <c r="I82" s="143"/>
      <c r="J82" s="143"/>
      <c r="K82" s="143"/>
      <c r="O82" s="142"/>
      <c r="P82" s="143"/>
      <c r="Q82" s="143"/>
      <c r="R82" s="143"/>
      <c r="S82" s="143"/>
    </row>
    <row r="83" spans="1:32" x14ac:dyDescent="0.25">
      <c r="A83">
        <v>4</v>
      </c>
      <c r="B83" t="e">
        <f t="shared" si="22"/>
        <v>#N/A</v>
      </c>
      <c r="G83" t="e">
        <f t="shared" ref="G83:G86" si="23">B80</f>
        <v>#N/A</v>
      </c>
      <c r="H83" s="3"/>
      <c r="I83" t="e">
        <f>VLOOKUP($G83&amp;I$75,$A$5:$E$19,4,FALSE)</f>
        <v>#N/A</v>
      </c>
      <c r="J83" t="e">
        <f>VLOOKUP($G83&amp;J$75,$A$5:$E$19,4,FALSE)</f>
        <v>#N/A</v>
      </c>
      <c r="K83" t="e">
        <f>VLOOKUP($G83&amp;K$75,$A$5:$E$19,4,FALSE)</f>
        <v>#N/A</v>
      </c>
      <c r="O83" t="e">
        <f>G83</f>
        <v>#N/A</v>
      </c>
      <c r="P83" s="3"/>
      <c r="Q83" t="str">
        <f>IF(AND(ISNUMBER(I83),ISNUMBER(H84)),IF(I83&gt;H84,3,IF(I83&lt;H84,0,1)),"")</f>
        <v/>
      </c>
      <c r="R83" t="str">
        <f>IF(AND(ISNUMBER(J83),ISNUMBER(H85)),IF(J83&gt;H85,3,IF(J83&lt;H85,0,1)),"")</f>
        <v/>
      </c>
      <c r="S83" t="str">
        <f>IF(AND(ISNUMBER(K83),ISNUMBER(H86)),IF(K83&gt;H86,3,IF(K83&lt;H86,0,1)),"")</f>
        <v/>
      </c>
    </row>
    <row r="84" spans="1:32" x14ac:dyDescent="0.25">
      <c r="G84" t="e">
        <f t="shared" si="23"/>
        <v>#N/A</v>
      </c>
      <c r="H84" t="e">
        <f>VLOOKUP(H$75&amp;$G84,$A$5:$E$19,5,FALSE)</f>
        <v>#N/A</v>
      </c>
      <c r="I84" s="3"/>
      <c r="J84" t="e">
        <f>VLOOKUP($G84&amp;J$75,$A$5:$E$19,4,FALSE)</f>
        <v>#N/A</v>
      </c>
      <c r="K84" t="e">
        <f>VLOOKUP($G84&amp;K$75,$A$5:$E$19,4,FALSE)</f>
        <v>#N/A</v>
      </c>
      <c r="O84" t="e">
        <f>G84</f>
        <v>#N/A</v>
      </c>
      <c r="P84" t="str">
        <f>IF(AND(ISNUMBER(H84),ISNUMBER(I83)),IF(H84&gt;I83,3,IF(H84&lt;I83,0,1)),"")</f>
        <v/>
      </c>
      <c r="Q84" s="3"/>
      <c r="R84" t="str">
        <f>IF(AND(ISNUMBER(J84),ISNUMBER(I85)),IF(J84&gt;I85,3,IF(J84&lt;I85,0,1)),"")</f>
        <v/>
      </c>
      <c r="S84" t="str">
        <f>IF(AND(ISNUMBER(K84),ISNUMBER(I86)),IF(K84&gt;I86,3,IF(K84&lt;I86,0,1)),"")</f>
        <v/>
      </c>
    </row>
    <row r="85" spans="1:32" x14ac:dyDescent="0.25">
      <c r="G85" t="e">
        <f t="shared" si="23"/>
        <v>#N/A</v>
      </c>
      <c r="H85" t="e">
        <f>VLOOKUP(H$75&amp;$G85,$A$5:$E$19,5,FALSE)</f>
        <v>#N/A</v>
      </c>
      <c r="I85" t="e">
        <f>VLOOKUP(I$75&amp;$G85,$A$5:$E$19,5,FALSE)</f>
        <v>#N/A</v>
      </c>
      <c r="J85" s="3"/>
      <c r="K85" t="e">
        <f>VLOOKUP($G85&amp;K$75,$A$5:$E$19,4,FALSE)</f>
        <v>#N/A</v>
      </c>
      <c r="O85" t="e">
        <f>G85</f>
        <v>#N/A</v>
      </c>
      <c r="P85" t="str">
        <f>IF(AND(ISNUMBER(H85),ISNUMBER(J83)),IF(H85&gt;J83,3,IF(H85&lt;J83,0,1)),"")</f>
        <v/>
      </c>
      <c r="Q85" t="str">
        <f>IF(AND(ISNUMBER(I85),ISNUMBER(J84)),IF(I85&gt;J84,3,IF(I85&lt;J84,0,1)),"")</f>
        <v/>
      </c>
      <c r="R85" s="3"/>
      <c r="S85" t="str">
        <f>IF(AND(ISNUMBER(K85),ISNUMBER(J86)),IF(K85&gt;J86,3,IF(K85&lt;J86,0,1)),"")</f>
        <v/>
      </c>
    </row>
    <row r="86" spans="1:32" x14ac:dyDescent="0.25">
      <c r="G86" t="e">
        <f t="shared" si="23"/>
        <v>#N/A</v>
      </c>
      <c r="H86" t="e">
        <f>VLOOKUP(H$75&amp;$G86,$A$5:$E$19,5,FALSE)</f>
        <v>#N/A</v>
      </c>
      <c r="I86" t="e">
        <f>VLOOKUP(I$75&amp;$G86,$A$5:$E$19,5,FALSE)</f>
        <v>#N/A</v>
      </c>
      <c r="J86" t="e">
        <f>VLOOKUP(J$75&amp;$G86,$A$5:$E$19,5,FALSE)</f>
        <v>#N/A</v>
      </c>
      <c r="K86" s="3"/>
      <c r="O86" t="e">
        <f>G86</f>
        <v>#N/A</v>
      </c>
      <c r="P86" t="str">
        <f>IF(AND(ISNUMBER(H86),ISNUMBER(K83)),IF(H86&gt;K83,3,IF(H86&lt;K83,0,1)),"")</f>
        <v/>
      </c>
      <c r="Q86" t="str">
        <f>IF(AND(ISNUMBER(I86),ISNUMBER(K84)),IF(I86&gt;K84,3,IF(I86&lt;K84,0,1)),"")</f>
        <v/>
      </c>
      <c r="R86" t="str">
        <f>IF(AND(ISNUMBER(J86),ISNUMBER(K85)),IF(J86&gt;K85,3,IF(J86&lt;K85,0,1)),"")</f>
        <v/>
      </c>
      <c r="S86" s="3"/>
    </row>
    <row r="90" spans="1:32" x14ac:dyDescent="0.25">
      <c r="A90" s="141" t="s">
        <v>49</v>
      </c>
      <c r="B90" s="141"/>
      <c r="C90" s="141"/>
      <c r="D90" s="141"/>
      <c r="E90" s="141"/>
      <c r="F90" s="141"/>
      <c r="G90" s="141"/>
      <c r="H90" s="141"/>
      <c r="I90" s="141"/>
      <c r="J90" s="141"/>
      <c r="K90" s="141"/>
      <c r="L90" s="141"/>
      <c r="M90" s="141"/>
      <c r="N90" s="141"/>
      <c r="O90" s="141"/>
      <c r="P90" s="141"/>
      <c r="Q90" s="141"/>
      <c r="R90" s="141"/>
      <c r="S90" s="141"/>
      <c r="T90" s="141"/>
      <c r="U90" s="141"/>
      <c r="V90" s="141"/>
      <c r="W90" s="141"/>
      <c r="X90" s="141"/>
      <c r="Y90" s="141"/>
      <c r="Z90" s="141"/>
      <c r="AA90" s="141"/>
      <c r="AB90" s="141"/>
      <c r="AC90" s="141"/>
      <c r="AD90" s="141"/>
      <c r="AE90" s="141"/>
      <c r="AF90" s="141"/>
    </row>
    <row r="92" spans="1:32" x14ac:dyDescent="0.25">
      <c r="A92" t="e">
        <f>RANK(C92,$C$92:$C$96,1)</f>
        <v>#N/A</v>
      </c>
      <c r="B92">
        <f>Vergleich!C42</f>
        <v>0</v>
      </c>
      <c r="C92" t="e">
        <f>MATCH(B92,Tippspiel!$B$124:$B$135,0)</f>
        <v>#N/A</v>
      </c>
      <c r="G92" s="142" t="s">
        <v>27</v>
      </c>
      <c r="H92" s="143" t="e">
        <f>G100</f>
        <v>#N/A</v>
      </c>
      <c r="I92" s="143" t="e">
        <f>G101</f>
        <v>#N/A</v>
      </c>
      <c r="J92" s="143" t="e">
        <f>G102</f>
        <v>#N/A</v>
      </c>
      <c r="K92" s="143" t="e">
        <f>G103</f>
        <v>#N/A</v>
      </c>
      <c r="L92" s="143" t="e">
        <f>G104</f>
        <v>#N/A</v>
      </c>
      <c r="O92" s="142" t="s">
        <v>26</v>
      </c>
      <c r="P92" s="143" t="e">
        <f>H92</f>
        <v>#N/A</v>
      </c>
      <c r="Q92" s="143" t="e">
        <f>I92</f>
        <v>#N/A</v>
      </c>
      <c r="R92" s="143" t="e">
        <f>J92</f>
        <v>#N/A</v>
      </c>
      <c r="S92" s="143" t="e">
        <f>K92</f>
        <v>#N/A</v>
      </c>
      <c r="T92" s="143" t="e">
        <f>L92</f>
        <v>#N/A</v>
      </c>
      <c r="Y92" s="2" t="s">
        <v>33</v>
      </c>
      <c r="Z92" s="2" t="s">
        <v>25</v>
      </c>
      <c r="AA92" s="2" t="s">
        <v>26</v>
      </c>
      <c r="AB92" s="2" t="s">
        <v>27</v>
      </c>
      <c r="AC92" s="2" t="s">
        <v>28</v>
      </c>
      <c r="AD92" s="2" t="s">
        <v>31</v>
      </c>
      <c r="AE92" s="2" t="s">
        <v>32</v>
      </c>
    </row>
    <row r="93" spans="1:32" x14ac:dyDescent="0.25">
      <c r="A93" t="e">
        <f>RANK(C93,$C$92:$C$96,1)</f>
        <v>#N/A</v>
      </c>
      <c r="B93">
        <f>Vergleich!C43</f>
        <v>0</v>
      </c>
      <c r="C93" t="e">
        <f>MATCH(B93,Tippspiel!$B$124:$B$135,0)</f>
        <v>#N/A</v>
      </c>
      <c r="G93" s="142"/>
      <c r="H93" s="143"/>
      <c r="I93" s="143"/>
      <c r="J93" s="143"/>
      <c r="K93" s="143"/>
      <c r="L93" s="143"/>
      <c r="O93" s="142"/>
      <c r="P93" s="143"/>
      <c r="Q93" s="143"/>
      <c r="R93" s="143"/>
      <c r="S93" s="143"/>
      <c r="T93" s="143"/>
      <c r="W93" t="e">
        <f>RANK(X93,$X$93:$X$97)</f>
        <v>#N/A</v>
      </c>
      <c r="X93" t="e">
        <f>10000*AA93+100*AB93+AE93</f>
        <v>#N/A</v>
      </c>
      <c r="Y93" t="e">
        <f>B98</f>
        <v>#N/A</v>
      </c>
      <c r="Z93">
        <f>IF(COUNT($H100:$L100)=COUNT(H100:H104),COUNT($H100:$L100),"")</f>
        <v>0</v>
      </c>
      <c r="AA93">
        <f>SUM(P100:T100)</f>
        <v>0</v>
      </c>
      <c r="AB93" t="e">
        <f>SUM(H100:L100)</f>
        <v>#N/A</v>
      </c>
      <c r="AC93" t="e">
        <f>SUM(H100:H104)</f>
        <v>#N/A</v>
      </c>
      <c r="AD93" t="e">
        <f t="shared" ref="AD93:AD97" si="24">AB93-AC93</f>
        <v>#N/A</v>
      </c>
      <c r="AE93">
        <v>0.5</v>
      </c>
    </row>
    <row r="94" spans="1:32" x14ac:dyDescent="0.25">
      <c r="A94" t="e">
        <f>RANK(C94,$C$92:$C$96,1)</f>
        <v>#N/A</v>
      </c>
      <c r="B94">
        <f>Vergleich!C44</f>
        <v>0</v>
      </c>
      <c r="C94" t="e">
        <f>MATCH(B94,Tippspiel!$B$124:$B$135,0)</f>
        <v>#N/A</v>
      </c>
      <c r="G94" s="142"/>
      <c r="H94" s="143"/>
      <c r="I94" s="143"/>
      <c r="J94" s="143"/>
      <c r="K94" s="143"/>
      <c r="L94" s="143"/>
      <c r="O94" s="142"/>
      <c r="P94" s="143"/>
      <c r="Q94" s="143"/>
      <c r="R94" s="143"/>
      <c r="S94" s="143"/>
      <c r="T94" s="143"/>
      <c r="W94" t="e">
        <f t="shared" ref="W94:W97" si="25">RANK(X94,$X$93:$X$97)</f>
        <v>#N/A</v>
      </c>
      <c r="X94" t="e">
        <f>10000*AA94+100*AB94+AE94</f>
        <v>#N/A</v>
      </c>
      <c r="Y94" t="e">
        <f>B99</f>
        <v>#N/A</v>
      </c>
      <c r="Z94">
        <f>IF(COUNT($H101:$L101)=COUNT(I100:I104),COUNT($H101:$L101),"")</f>
        <v>0</v>
      </c>
      <c r="AA94">
        <f>SUM(P101:T101)</f>
        <v>0</v>
      </c>
      <c r="AB94" t="e">
        <f>SUM(H101:L101)</f>
        <v>#N/A</v>
      </c>
      <c r="AC94" t="e">
        <f>SUM(I100:I104)</f>
        <v>#N/A</v>
      </c>
      <c r="AD94" t="e">
        <f t="shared" si="24"/>
        <v>#N/A</v>
      </c>
      <c r="AE94">
        <v>0.4</v>
      </c>
    </row>
    <row r="95" spans="1:32" x14ac:dyDescent="0.25">
      <c r="A95" t="e">
        <f>RANK(C95,$C$92:$C$96,1)</f>
        <v>#N/A</v>
      </c>
      <c r="B95">
        <f>Vergleich!C45</f>
        <v>0</v>
      </c>
      <c r="C95" t="e">
        <f>MATCH(B95,Tippspiel!$B$124:$B$135,0)</f>
        <v>#N/A</v>
      </c>
      <c r="G95" s="142"/>
      <c r="H95" s="143"/>
      <c r="I95" s="143"/>
      <c r="J95" s="143"/>
      <c r="K95" s="143"/>
      <c r="L95" s="143"/>
      <c r="O95" s="142"/>
      <c r="P95" s="143"/>
      <c r="Q95" s="143"/>
      <c r="R95" s="143"/>
      <c r="S95" s="143"/>
      <c r="T95" s="143"/>
      <c r="W95" t="e">
        <f t="shared" si="25"/>
        <v>#N/A</v>
      </c>
      <c r="X95" t="e">
        <f>10000*AA95+100*AB95+AE95</f>
        <v>#N/A</v>
      </c>
      <c r="Y95" t="e">
        <f>B100</f>
        <v>#N/A</v>
      </c>
      <c r="Z95">
        <f>IF(COUNT($H102:$L102)=COUNT(J100:J104),COUNT($H102:$L102),"")</f>
        <v>0</v>
      </c>
      <c r="AA95">
        <f>SUM(P102:T102)</f>
        <v>0</v>
      </c>
      <c r="AB95" t="e">
        <f>SUM(H102:L102)</f>
        <v>#N/A</v>
      </c>
      <c r="AC95" t="e">
        <f>SUM(J100:J104)</f>
        <v>#N/A</v>
      </c>
      <c r="AD95" t="e">
        <f t="shared" si="24"/>
        <v>#N/A</v>
      </c>
      <c r="AE95">
        <v>0.3</v>
      </c>
    </row>
    <row r="96" spans="1:32" x14ac:dyDescent="0.25">
      <c r="A96" t="e">
        <f>RANK(C96,$C$92:$C$96,1)</f>
        <v>#N/A</v>
      </c>
      <c r="B96">
        <f>Vergleich!C46</f>
        <v>0</v>
      </c>
      <c r="C96" t="e">
        <f>MATCH(B96,Tippspiel!$B$124:$B$135,0)</f>
        <v>#N/A</v>
      </c>
      <c r="G96" s="142"/>
      <c r="H96" s="143"/>
      <c r="I96" s="143"/>
      <c r="J96" s="143"/>
      <c r="K96" s="143"/>
      <c r="L96" s="143"/>
      <c r="O96" s="142"/>
      <c r="P96" s="143"/>
      <c r="Q96" s="143"/>
      <c r="R96" s="143"/>
      <c r="S96" s="143"/>
      <c r="T96" s="143"/>
      <c r="W96" t="e">
        <f t="shared" si="25"/>
        <v>#N/A</v>
      </c>
      <c r="X96" t="e">
        <f>10000*AA96+100*AB96+AE96</f>
        <v>#N/A</v>
      </c>
      <c r="Y96" t="e">
        <f>B101</f>
        <v>#N/A</v>
      </c>
      <c r="Z96">
        <f>IF(COUNT($H103:$L103)=COUNT(K100:K104),COUNT($H103:$L103),"")</f>
        <v>0</v>
      </c>
      <c r="AA96">
        <f>SUM(P103:T103)</f>
        <v>0</v>
      </c>
      <c r="AB96" t="e">
        <f>SUM(H103:L103)</f>
        <v>#N/A</v>
      </c>
      <c r="AC96" t="e">
        <f>SUM(K100:K104)</f>
        <v>#N/A</v>
      </c>
      <c r="AD96" t="e">
        <f t="shared" si="24"/>
        <v>#N/A</v>
      </c>
      <c r="AE96">
        <v>0.2</v>
      </c>
    </row>
    <row r="97" spans="1:31" x14ac:dyDescent="0.25">
      <c r="G97" s="142"/>
      <c r="H97" s="143"/>
      <c r="I97" s="143"/>
      <c r="J97" s="143"/>
      <c r="K97" s="143"/>
      <c r="L97" s="143"/>
      <c r="O97" s="142"/>
      <c r="P97" s="143"/>
      <c r="Q97" s="143"/>
      <c r="R97" s="143"/>
      <c r="S97" s="143"/>
      <c r="T97" s="143"/>
      <c r="W97" t="e">
        <f t="shared" si="25"/>
        <v>#N/A</v>
      </c>
      <c r="X97" t="e">
        <f>10000*AA97+100*AB97+AE97</f>
        <v>#N/A</v>
      </c>
      <c r="Y97" t="e">
        <f>B102</f>
        <v>#N/A</v>
      </c>
      <c r="Z97">
        <f>IF(COUNT($H104:$L104)=COUNT(L100:L104),COUNT($H104:$L104),"")</f>
        <v>0</v>
      </c>
      <c r="AA97">
        <f>SUM(P104:T104)</f>
        <v>0</v>
      </c>
      <c r="AB97" t="e">
        <f>SUM(H104:L104)</f>
        <v>#N/A</v>
      </c>
      <c r="AC97" t="e">
        <f>SUM(L100:L104)</f>
        <v>#N/A</v>
      </c>
      <c r="AD97" t="e">
        <f t="shared" si="24"/>
        <v>#N/A</v>
      </c>
      <c r="AE97">
        <v>0.1</v>
      </c>
    </row>
    <row r="98" spans="1:31" x14ac:dyDescent="0.25">
      <c r="A98">
        <v>1</v>
      </c>
      <c r="B98" t="e">
        <f>VLOOKUP(A98,$A$92:$C$96,2,FALSE)</f>
        <v>#N/A</v>
      </c>
      <c r="G98" s="142"/>
      <c r="H98" s="143"/>
      <c r="I98" s="143"/>
      <c r="J98" s="143"/>
      <c r="K98" s="143"/>
      <c r="L98" s="143"/>
      <c r="O98" s="142"/>
      <c r="P98" s="143"/>
      <c r="Q98" s="143"/>
      <c r="R98" s="143"/>
      <c r="S98" s="143"/>
      <c r="T98" s="143"/>
    </row>
    <row r="99" spans="1:31" x14ac:dyDescent="0.25">
      <c r="A99">
        <v>2</v>
      </c>
      <c r="B99" t="e">
        <f>VLOOKUP(A99,$A$92:$C$96,2,FALSE)</f>
        <v>#N/A</v>
      </c>
      <c r="G99" s="142"/>
      <c r="H99" s="143"/>
      <c r="I99" s="143"/>
      <c r="J99" s="143"/>
      <c r="K99" s="143"/>
      <c r="L99" s="143"/>
      <c r="O99" s="142"/>
      <c r="P99" s="143"/>
      <c r="Q99" s="143"/>
      <c r="R99" s="143"/>
      <c r="S99" s="143"/>
      <c r="T99" s="143"/>
    </row>
    <row r="100" spans="1:31" x14ac:dyDescent="0.25">
      <c r="A100">
        <v>3</v>
      </c>
      <c r="B100" t="e">
        <f t="shared" ref="B100:B102" si="26">VLOOKUP(A100,$A$92:$C$96,2,FALSE)</f>
        <v>#N/A</v>
      </c>
      <c r="G100" t="e">
        <f t="shared" ref="G100:G104" si="27">B98</f>
        <v>#N/A</v>
      </c>
      <c r="H100" s="3"/>
      <c r="I100" t="e">
        <f>VLOOKUP($G100&amp;I$92,$A$5:$E$19,4,FALSE)</f>
        <v>#N/A</v>
      </c>
      <c r="J100" t="e">
        <f>VLOOKUP($G100&amp;J$92,$A$5:$E$19,4,FALSE)</f>
        <v>#N/A</v>
      </c>
      <c r="K100" t="e">
        <f>VLOOKUP($G100&amp;K$92,$A$5:$E$19,4,FALSE)</f>
        <v>#N/A</v>
      </c>
      <c r="L100" t="e">
        <f>VLOOKUP($G100&amp;L$92,$A$5:$E$19,4,FALSE)</f>
        <v>#N/A</v>
      </c>
      <c r="O100" t="e">
        <f>G100</f>
        <v>#N/A</v>
      </c>
      <c r="P100" s="3"/>
      <c r="Q100" t="str">
        <f>IF(AND(ISNUMBER(I100),ISNUMBER(H101)),IF(I100&gt;H101,3,IF(I100&lt;H101,0,1)),"")</f>
        <v/>
      </c>
      <c r="R100" t="str">
        <f>IF(AND(ISNUMBER(J100),ISNUMBER(H102)),IF(J100&gt;H102,3,IF(J100&lt;H102,0,1)),"")</f>
        <v/>
      </c>
      <c r="S100" t="str">
        <f>IF(AND(ISNUMBER(K100),ISNUMBER(H103)),IF(K100&gt;H103,3,IF(K100&lt;H103,0,1)),"")</f>
        <v/>
      </c>
      <c r="T100" t="str">
        <f>IF(AND(ISNUMBER(L100),ISNUMBER(H104)),IF(L100&gt;H104,3,IF(L100&lt;H104,0,1)),"")</f>
        <v/>
      </c>
    </row>
    <row r="101" spans="1:31" x14ac:dyDescent="0.25">
      <c r="A101">
        <v>4</v>
      </c>
      <c r="B101" t="e">
        <f t="shared" si="26"/>
        <v>#N/A</v>
      </c>
      <c r="G101" t="e">
        <f t="shared" si="27"/>
        <v>#N/A</v>
      </c>
      <c r="H101" t="e">
        <f>VLOOKUP(H$92&amp;$G101,$A$5:$E$19,5,FALSE)</f>
        <v>#N/A</v>
      </c>
      <c r="I101" s="3"/>
      <c r="J101" t="e">
        <f>VLOOKUP($G101&amp;J$92,$A$5:$E$19,4,FALSE)</f>
        <v>#N/A</v>
      </c>
      <c r="K101" t="e">
        <f>VLOOKUP($G101&amp;K$92,$A$5:$E$19,4,FALSE)</f>
        <v>#N/A</v>
      </c>
      <c r="L101" t="e">
        <f>VLOOKUP($G101&amp;L$92,$A$5:$E$19,4,FALSE)</f>
        <v>#N/A</v>
      </c>
      <c r="O101" t="e">
        <f>G101</f>
        <v>#N/A</v>
      </c>
      <c r="P101" t="str">
        <f>IF(AND(ISNUMBER(H101),ISNUMBER(I100)),IF(H101&gt;I100,3,IF(H101&lt;I100,0,1)),"")</f>
        <v/>
      </c>
      <c r="Q101" s="3"/>
      <c r="R101" t="str">
        <f>IF(AND(ISNUMBER(J101),ISNUMBER(I102)),IF(J101&gt;I102,3,IF(J101&lt;I102,0,1)),"")</f>
        <v/>
      </c>
      <c r="S101" t="str">
        <f>IF(AND(ISNUMBER(K101),ISNUMBER(I103)),IF(K101&gt;I103,3,IF(K101&lt;I103,0,1)),"")</f>
        <v/>
      </c>
      <c r="T101" t="str">
        <f>IF(AND(ISNUMBER(L101),ISNUMBER(I104)),IF(L101&gt;I104,3,IF(L101&lt;I104,0,1)),"")</f>
        <v/>
      </c>
    </row>
    <row r="102" spans="1:31" x14ac:dyDescent="0.25">
      <c r="A102">
        <v>5</v>
      </c>
      <c r="B102" t="e">
        <f t="shared" si="26"/>
        <v>#N/A</v>
      </c>
      <c r="G102" t="e">
        <f t="shared" si="27"/>
        <v>#N/A</v>
      </c>
      <c r="H102" t="e">
        <f>VLOOKUP(H$92&amp;$G102,$A$5:$E$19,5,FALSE)</f>
        <v>#N/A</v>
      </c>
      <c r="I102" t="e">
        <f>VLOOKUP(I$92&amp;$G102,$A$5:$E$19,5,FALSE)</f>
        <v>#N/A</v>
      </c>
      <c r="J102" s="3"/>
      <c r="K102" t="e">
        <f>VLOOKUP($G102&amp;K$92,$A$5:$E$19,4,FALSE)</f>
        <v>#N/A</v>
      </c>
      <c r="L102" t="e">
        <f>VLOOKUP($G102&amp;L$92,$A$5:$E$19,4,FALSE)</f>
        <v>#N/A</v>
      </c>
      <c r="O102" t="e">
        <f>G102</f>
        <v>#N/A</v>
      </c>
      <c r="P102" t="str">
        <f>IF(AND(ISNUMBER(H102),ISNUMBER(J100)),IF(H102&gt;J100,3,IF(H102&lt;J100,0,1)),"")</f>
        <v/>
      </c>
      <c r="Q102" t="str">
        <f>IF(AND(ISNUMBER(I102),ISNUMBER(J101)),IF(I102&gt;J101,3,IF(I102&lt;J101,0,1)),"")</f>
        <v/>
      </c>
      <c r="R102" s="3"/>
      <c r="S102" t="str">
        <f>IF(AND(ISNUMBER(K102),ISNUMBER(J103)),IF(K102&gt;J103,3,IF(K102&lt;J103,0,1)),"")</f>
        <v/>
      </c>
      <c r="T102" t="str">
        <f>IF(AND(ISNUMBER(L102),ISNUMBER(J104)),IF(L102&gt;J104,3,IF(L102&lt;J104,0,1)),"")</f>
        <v/>
      </c>
    </row>
    <row r="103" spans="1:31" x14ac:dyDescent="0.25">
      <c r="G103" t="e">
        <f t="shared" si="27"/>
        <v>#N/A</v>
      </c>
      <c r="H103" t="e">
        <f>VLOOKUP(H$92&amp;$G103,$A$5:$E$19,5,FALSE)</f>
        <v>#N/A</v>
      </c>
      <c r="I103" t="e">
        <f>VLOOKUP(I$92&amp;$G103,$A$5:$E$19,5,FALSE)</f>
        <v>#N/A</v>
      </c>
      <c r="J103" t="e">
        <f>VLOOKUP(J$92&amp;$G103,$A$5:$E$19,5,FALSE)</f>
        <v>#N/A</v>
      </c>
      <c r="K103" s="3"/>
      <c r="L103" t="e">
        <f>VLOOKUP($G103&amp;L$92,$A$5:$E$19,4,FALSE)</f>
        <v>#N/A</v>
      </c>
      <c r="O103" t="e">
        <f>G103</f>
        <v>#N/A</v>
      </c>
      <c r="P103" t="str">
        <f>IF(AND(ISNUMBER(H103),ISNUMBER(K100)),IF(H103&gt;K100,3,IF(H103&lt;K100,0,1)),"")</f>
        <v/>
      </c>
      <c r="Q103" t="str">
        <f>IF(AND(ISNUMBER(I103),ISNUMBER(K101)),IF(I103&gt;K101,3,IF(I103&lt;K101,0,1)),"")</f>
        <v/>
      </c>
      <c r="R103" t="str">
        <f>IF(AND(ISNUMBER(J103),ISNUMBER(K102)),IF(J103&gt;K102,3,IF(J103&lt;K102,0,1)),"")</f>
        <v/>
      </c>
      <c r="S103" s="3"/>
      <c r="T103" t="str">
        <f>IF(AND(ISNUMBER(L103),ISNUMBER(K104)),IF(L103&gt;K104,3,IF(L103&lt;K104,0,1)),"")</f>
        <v/>
      </c>
    </row>
    <row r="104" spans="1:31" x14ac:dyDescent="0.25">
      <c r="G104" t="e">
        <f t="shared" si="27"/>
        <v>#N/A</v>
      </c>
      <c r="H104" t="e">
        <f>VLOOKUP(H$92&amp;$G104,$A$5:$E$19,5,FALSE)</f>
        <v>#N/A</v>
      </c>
      <c r="I104" t="e">
        <f>VLOOKUP(I$92&amp;$G104,$A$5:$E$19,5,FALSE)</f>
        <v>#N/A</v>
      </c>
      <c r="J104" t="e">
        <f>VLOOKUP(J$92&amp;$G104,$A$5:$E$19,5,FALSE)</f>
        <v>#N/A</v>
      </c>
      <c r="K104" t="e">
        <f>VLOOKUP(K$92&amp;$G104,$A$5:$E$19,5,FALSE)</f>
        <v>#N/A</v>
      </c>
      <c r="L104" s="3"/>
      <c r="O104" t="e">
        <f>G104</f>
        <v>#N/A</v>
      </c>
      <c r="P104" t="str">
        <f>IF(AND(ISNUMBER(H104),ISNUMBER(L100)),IF(H104&gt;L100,3,IF(H104&lt;L100,0,1)),"")</f>
        <v/>
      </c>
      <c r="Q104" t="str">
        <f>IF(AND(ISNUMBER(I104),ISNUMBER(L101)),IF(I104&gt;L101,3,IF(I104&lt;L101,0,1)),"")</f>
        <v/>
      </c>
      <c r="R104" t="str">
        <f>IF(AND(ISNUMBER(J104),ISNUMBER(L102)),IF(J104&gt;L102,3,IF(J104&lt;L102,0,1)),"")</f>
        <v/>
      </c>
      <c r="S104" t="str">
        <f>IF(AND(ISNUMBER(K104),ISNUMBER(L103)),IF(K104&gt;L103,3,IF(K104&lt;L103,0,1)),"")</f>
        <v/>
      </c>
      <c r="T104" s="3"/>
    </row>
  </sheetData>
  <mergeCells count="74">
    <mergeCell ref="Q92:Q99"/>
    <mergeCell ref="R92:R99"/>
    <mergeCell ref="S92:S99"/>
    <mergeCell ref="T92:T99"/>
    <mergeCell ref="S75:S82"/>
    <mergeCell ref="A90:AF90"/>
    <mergeCell ref="G92:G99"/>
    <mergeCell ref="H92:H99"/>
    <mergeCell ref="I92:I99"/>
    <mergeCell ref="J92:J99"/>
    <mergeCell ref="K92:K99"/>
    <mergeCell ref="L92:L99"/>
    <mergeCell ref="O92:O99"/>
    <mergeCell ref="P92:P99"/>
    <mergeCell ref="A73:AF73"/>
    <mergeCell ref="G75:G82"/>
    <mergeCell ref="H75:H82"/>
    <mergeCell ref="I75:I82"/>
    <mergeCell ref="J75:J82"/>
    <mergeCell ref="K75:K82"/>
    <mergeCell ref="O75:O82"/>
    <mergeCell ref="P75:P82"/>
    <mergeCell ref="Q75:Q82"/>
    <mergeCell ref="R75:R82"/>
    <mergeCell ref="A57:AF57"/>
    <mergeCell ref="G59:G66"/>
    <mergeCell ref="H59:H66"/>
    <mergeCell ref="I59:I66"/>
    <mergeCell ref="J59:J66"/>
    <mergeCell ref="O59:O66"/>
    <mergeCell ref="P59:P66"/>
    <mergeCell ref="Q59:Q66"/>
    <mergeCell ref="R59:R66"/>
    <mergeCell ref="A42:AF42"/>
    <mergeCell ref="G44:G51"/>
    <mergeCell ref="H44:H51"/>
    <mergeCell ref="I44:I51"/>
    <mergeCell ref="O44:O51"/>
    <mergeCell ref="P44:P51"/>
    <mergeCell ref="Q44:Q51"/>
    <mergeCell ref="A41:AF41"/>
    <mergeCell ref="J24:J31"/>
    <mergeCell ref="K24:K31"/>
    <mergeCell ref="L24:L31"/>
    <mergeCell ref="M24:M31"/>
    <mergeCell ref="O24:O31"/>
    <mergeCell ref="P24:P31"/>
    <mergeCell ref="Q24:Q31"/>
    <mergeCell ref="R24:R31"/>
    <mergeCell ref="S24:S31"/>
    <mergeCell ref="T24:T31"/>
    <mergeCell ref="U24:U31"/>
    <mergeCell ref="G24:G31"/>
    <mergeCell ref="H24:H31"/>
    <mergeCell ref="I24:I31"/>
    <mergeCell ref="R5:R12"/>
    <mergeCell ref="G5:G12"/>
    <mergeCell ref="H5:H12"/>
    <mergeCell ref="I5:I12"/>
    <mergeCell ref="J5:J12"/>
    <mergeCell ref="K5:K12"/>
    <mergeCell ref="L5:L12"/>
    <mergeCell ref="M5:M12"/>
    <mergeCell ref="O5:O12"/>
    <mergeCell ref="P5:P12"/>
    <mergeCell ref="Q5:Q12"/>
    <mergeCell ref="A2:AF2"/>
    <mergeCell ref="A3:AF3"/>
    <mergeCell ref="A22:AF22"/>
    <mergeCell ref="D4:E4"/>
    <mergeCell ref="D23:E23"/>
    <mergeCell ref="S5:S12"/>
    <mergeCell ref="T5:T12"/>
    <mergeCell ref="U5:U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26</vt:i4>
      </vt:variant>
    </vt:vector>
  </HeadingPairs>
  <TitlesOfParts>
    <vt:vector size="33" baseType="lpstr">
      <vt:lpstr>Erklärung</vt:lpstr>
      <vt:lpstr>Tippspiel</vt:lpstr>
      <vt:lpstr>Spielplan</vt:lpstr>
      <vt:lpstr>Vergleich</vt:lpstr>
      <vt:lpstr>Auswertung</vt:lpstr>
      <vt:lpstr>Rechner</vt:lpstr>
      <vt:lpstr>Tippspiel_Rechner</vt:lpstr>
      <vt:lpstr>Tippspiel!DMP</vt:lpstr>
      <vt:lpstr>DMP</vt:lpstr>
      <vt:lpstr>Spielplan!Druckbereich</vt:lpstr>
      <vt:lpstr>Tippspiel!Druckbereich</vt:lpstr>
      <vt:lpstr>Tippspiel!ELM</vt:lpstr>
      <vt:lpstr>ELM</vt:lpstr>
      <vt:lpstr>Tippspiel!FPT</vt:lpstr>
      <vt:lpstr>FPT</vt:lpstr>
      <vt:lpstr>Tippspiel!GST</vt:lpstr>
      <vt:lpstr>GST</vt:lpstr>
      <vt:lpstr>Tippspiel!HAW</vt:lpstr>
      <vt:lpstr>HAW</vt:lpstr>
      <vt:lpstr>Tippspiel!LEG</vt:lpstr>
      <vt:lpstr>LEG</vt:lpstr>
      <vt:lpstr>Tippspiel!MUH</vt:lpstr>
      <vt:lpstr>MUH</vt:lpstr>
      <vt:lpstr>Tippspiel!ONE</vt:lpstr>
      <vt:lpstr>ONE</vt:lpstr>
      <vt:lpstr>Tippspiel!QRR</vt:lpstr>
      <vt:lpstr>QRR</vt:lpstr>
      <vt:lpstr>Tippspiel!REI</vt:lpstr>
      <vt:lpstr>REI</vt:lpstr>
      <vt:lpstr>Tippspiel!TRV</vt:lpstr>
      <vt:lpstr>TRV</vt:lpstr>
      <vt:lpstr>Tippspiel!UTH</vt:lpstr>
      <vt:lpstr>UTH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Gross</dc:creator>
  <cp:lastModifiedBy>Philipp Gross</cp:lastModifiedBy>
  <cp:lastPrinted>2025-06-09T18:18:31Z</cp:lastPrinted>
  <dcterms:created xsi:type="dcterms:W3CDTF">2025-05-28T21:47:51Z</dcterms:created>
  <dcterms:modified xsi:type="dcterms:W3CDTF">2025-06-09T19:16:45Z</dcterms:modified>
</cp:coreProperties>
</file>