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d498db6c281fe1/Einradhockey/Einradhockeyliga/Öffentlichkeitsausschuss/2025-Saison/Tippspiel/"/>
    </mc:Choice>
  </mc:AlternateContent>
  <xr:revisionPtr revIDLastSave="5357" documentId="8_{11DC6CBE-4572-4993-8EA5-F19CDDD266CD}" xr6:coauthVersionLast="47" xr6:coauthVersionMax="47" xr10:uidLastSave="{9EB4DB88-343A-413D-94F6-BD30AC9CF040}"/>
  <bookViews>
    <workbookView xWindow="-105" yWindow="0" windowWidth="26010" windowHeight="20985" tabRatio="779" xr2:uid="{25F892DD-3229-40F5-B0F3-199A4735DC02}"/>
  </bookViews>
  <sheets>
    <sheet name="Erklärung" sheetId="8" r:id="rId1"/>
    <sheet name="Tippspiel" sheetId="4" r:id="rId2"/>
    <sheet name="Spielplan" sheetId="1" r:id="rId3"/>
    <sheet name="Vergleich" sheetId="3" r:id="rId4"/>
    <sheet name="Auswertung" sheetId="7" r:id="rId5"/>
    <sheet name="Rechner" sheetId="2" state="hidden" r:id="rId6"/>
    <sheet name="Tippspiel_Rechner" sheetId="5" state="hidden" r:id="rId7"/>
  </sheets>
  <externalReferences>
    <externalReference r:id="rId8"/>
    <externalReference r:id="rId9"/>
  </externalReferences>
  <definedNames>
    <definedName name="DMP" localSheetId="0">[1]Spielplan!$C$9</definedName>
    <definedName name="DMP">[2]Spielplan!$C$9</definedName>
    <definedName name="_xlnm.Print_Area" localSheetId="2">Spielplan!$A$1:$V$87</definedName>
    <definedName name="_xlnm.Print_Area" localSheetId="1">Tippspiel!$A$1:$V$88</definedName>
    <definedName name="ELM" localSheetId="0">[1]Spielplan!$C$11</definedName>
    <definedName name="ELM">[2]Spielplan!$C$11</definedName>
    <definedName name="FPT" localSheetId="0">[1]Spielplan!$C$10</definedName>
    <definedName name="FPT">[2]Spielplan!$C$10</definedName>
    <definedName name="GST" localSheetId="0">[1]Spielplan!$AA$12</definedName>
    <definedName name="GST">[2]Spielplan!$AA$12</definedName>
    <definedName name="HAW" localSheetId="0">[1]Spielplan!$C$8</definedName>
    <definedName name="HAW">[2]Spielplan!$C$8</definedName>
    <definedName name="LEG" localSheetId="0">[1]Spielplan!$AA$9</definedName>
    <definedName name="LEG">[2]Spielplan!$AA$9</definedName>
    <definedName name="MUH" localSheetId="0">[1]Spielplan!$C$12</definedName>
    <definedName name="MUH">[2]Spielplan!$C$12</definedName>
    <definedName name="ONE" localSheetId="0">[1]Spielplan!$AA$7</definedName>
    <definedName name="ONE">[2]Spielplan!$AA$7</definedName>
    <definedName name="QRR" localSheetId="0">[1]Spielplan!$AA$8</definedName>
    <definedName name="QRR">[2]Spielplan!$AA$8</definedName>
    <definedName name="REI" localSheetId="0">[1]Spielplan!$C$7</definedName>
    <definedName name="REI">[2]Spielplan!$C$7</definedName>
    <definedName name="TRV" localSheetId="0">[1]Spielplan!$AA$11</definedName>
    <definedName name="TRV">[2]Spielplan!$AA$11</definedName>
    <definedName name="UTH" localSheetId="0">[1]Spielplan!$AA$10</definedName>
    <definedName name="UTH">[2]Spielplan!$AA$10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27" i="2" l="1"/>
  <c r="Z126" i="2"/>
  <c r="Z125" i="2"/>
  <c r="Z124" i="2"/>
  <c r="Z123" i="2"/>
  <c r="Z122" i="2"/>
  <c r="Z106" i="2"/>
  <c r="Z105" i="2"/>
  <c r="Z104" i="2"/>
  <c r="Z103" i="2"/>
  <c r="Z102" i="2"/>
  <c r="Z86" i="2"/>
  <c r="Z85" i="2"/>
  <c r="Z84" i="2"/>
  <c r="Z83" i="2"/>
  <c r="Z127" i="5"/>
  <c r="Z126" i="5"/>
  <c r="Z125" i="5"/>
  <c r="Z124" i="5"/>
  <c r="Z123" i="5"/>
  <c r="Z122" i="5"/>
  <c r="Z106" i="5"/>
  <c r="Z105" i="5"/>
  <c r="Z104" i="5"/>
  <c r="Z103" i="5"/>
  <c r="Z102" i="5"/>
  <c r="Z86" i="5"/>
  <c r="Z85" i="5"/>
  <c r="Z84" i="5"/>
  <c r="Z83" i="5"/>
  <c r="X69" i="4" l="1"/>
  <c r="X68" i="4"/>
  <c r="X66" i="4"/>
  <c r="X64" i="4"/>
  <c r="W69" i="4"/>
  <c r="W68" i="4"/>
  <c r="W66" i="4"/>
  <c r="W64" i="4"/>
  <c r="X68" i="1"/>
  <c r="X67" i="1"/>
  <c r="X65" i="1"/>
  <c r="X63" i="1"/>
  <c r="W68" i="1"/>
  <c r="W67" i="1"/>
  <c r="W65" i="1"/>
  <c r="W63" i="1"/>
  <c r="J5" i="7"/>
  <c r="J18" i="7"/>
  <c r="K18" i="7" s="1"/>
  <c r="J19" i="7"/>
  <c r="J14" i="7"/>
  <c r="J7" i="7"/>
  <c r="E31" i="5"/>
  <c r="D31" i="5"/>
  <c r="E30" i="5"/>
  <c r="D30" i="5"/>
  <c r="E29" i="5"/>
  <c r="D29" i="5"/>
  <c r="E24" i="5"/>
  <c r="D24" i="5"/>
  <c r="C24" i="5"/>
  <c r="B24" i="5"/>
  <c r="A24" i="5" s="1"/>
  <c r="E23" i="5"/>
  <c r="D23" i="5"/>
  <c r="C23" i="5"/>
  <c r="B23" i="5"/>
  <c r="E22" i="5"/>
  <c r="D22" i="5"/>
  <c r="C22" i="5"/>
  <c r="B22" i="5"/>
  <c r="E21" i="5"/>
  <c r="D21" i="5"/>
  <c r="C21" i="5"/>
  <c r="B21" i="5"/>
  <c r="A21" i="5" s="1"/>
  <c r="E20" i="5"/>
  <c r="D20" i="5"/>
  <c r="C20" i="5"/>
  <c r="B20" i="5"/>
  <c r="A20" i="5" s="1"/>
  <c r="E19" i="5"/>
  <c r="D19" i="5"/>
  <c r="C19" i="5"/>
  <c r="B19" i="5"/>
  <c r="A19" i="5" s="1"/>
  <c r="E18" i="5"/>
  <c r="D18" i="5"/>
  <c r="C18" i="5"/>
  <c r="B18" i="5"/>
  <c r="E17" i="5"/>
  <c r="D17" i="5"/>
  <c r="C17" i="5"/>
  <c r="B17" i="5"/>
  <c r="A17" i="5" s="1"/>
  <c r="E16" i="5"/>
  <c r="D16" i="5"/>
  <c r="C16" i="5"/>
  <c r="B16" i="5"/>
  <c r="E15" i="5"/>
  <c r="D15" i="5"/>
  <c r="C15" i="5"/>
  <c r="B15" i="5"/>
  <c r="A15" i="5" s="1"/>
  <c r="E14" i="5"/>
  <c r="D14" i="5"/>
  <c r="C14" i="5"/>
  <c r="B14" i="5"/>
  <c r="A14" i="5" s="1"/>
  <c r="E13" i="5"/>
  <c r="D13" i="5"/>
  <c r="C13" i="5"/>
  <c r="B13" i="5"/>
  <c r="E12" i="5"/>
  <c r="D12" i="5"/>
  <c r="C12" i="5"/>
  <c r="B12" i="5"/>
  <c r="A12" i="5" s="1"/>
  <c r="E11" i="5"/>
  <c r="D11" i="5"/>
  <c r="C11" i="5"/>
  <c r="B11" i="5"/>
  <c r="E10" i="5"/>
  <c r="D10" i="5"/>
  <c r="C10" i="5"/>
  <c r="B10" i="5"/>
  <c r="A10" i="5" s="1"/>
  <c r="E9" i="5"/>
  <c r="D9" i="5"/>
  <c r="C9" i="5"/>
  <c r="B9" i="5"/>
  <c r="A9" i="5" s="1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E4" i="5"/>
  <c r="D4" i="5"/>
  <c r="C4" i="5"/>
  <c r="B4" i="5"/>
  <c r="A4" i="5" s="1"/>
  <c r="B126" i="5"/>
  <c r="C126" i="5" s="1"/>
  <c r="B125" i="5"/>
  <c r="C125" i="5" s="1"/>
  <c r="B124" i="5"/>
  <c r="C124" i="5" s="1"/>
  <c r="B123" i="5"/>
  <c r="C123" i="5" s="1"/>
  <c r="B122" i="5"/>
  <c r="C122" i="5" s="1"/>
  <c r="A122" i="5" s="1"/>
  <c r="B121" i="5"/>
  <c r="B119" i="5"/>
  <c r="C119" i="5" s="1"/>
  <c r="B105" i="5"/>
  <c r="C105" i="5" s="1"/>
  <c r="B104" i="5"/>
  <c r="B103" i="5"/>
  <c r="B102" i="5"/>
  <c r="B101" i="5"/>
  <c r="B99" i="5"/>
  <c r="C99" i="5" s="1"/>
  <c r="B85" i="5"/>
  <c r="C85" i="5" s="1"/>
  <c r="A85" i="5" s="1"/>
  <c r="B84" i="5"/>
  <c r="C84" i="5" s="1"/>
  <c r="B83" i="5"/>
  <c r="C83" i="5" s="1"/>
  <c r="B82" i="5"/>
  <c r="C82" i="5" s="1"/>
  <c r="B80" i="5"/>
  <c r="C80" i="5" s="1"/>
  <c r="B66" i="5"/>
  <c r="C66" i="5" s="1"/>
  <c r="B65" i="5"/>
  <c r="C65" i="5" s="1"/>
  <c r="B64" i="5"/>
  <c r="C64" i="5" s="1"/>
  <c r="B62" i="5"/>
  <c r="C62" i="5" s="1"/>
  <c r="B48" i="5"/>
  <c r="C48" i="5" s="1"/>
  <c r="B47" i="5"/>
  <c r="C47" i="5" s="1"/>
  <c r="B45" i="5"/>
  <c r="C45" i="5" s="1"/>
  <c r="A23" i="5"/>
  <c r="A22" i="5"/>
  <c r="A18" i="5"/>
  <c r="A16" i="5"/>
  <c r="A13" i="5"/>
  <c r="A11" i="5"/>
  <c r="A8" i="5"/>
  <c r="A7" i="5"/>
  <c r="A6" i="5"/>
  <c r="A5" i="5"/>
  <c r="P69" i="4"/>
  <c r="P68" i="4"/>
  <c r="P66" i="4"/>
  <c r="B44" i="4"/>
  <c r="B45" i="4" s="1"/>
  <c r="B18" i="4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F13" i="4"/>
  <c r="F12" i="4"/>
  <c r="F11" i="4"/>
  <c r="F10" i="4"/>
  <c r="F9" i="4"/>
  <c r="F8" i="4"/>
  <c r="F7" i="4"/>
  <c r="B44" i="1"/>
  <c r="E31" i="2"/>
  <c r="E30" i="2"/>
  <c r="E29" i="2"/>
  <c r="D31" i="2"/>
  <c r="D30" i="2"/>
  <c r="D29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B18" i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F13" i="1"/>
  <c r="F12" i="1"/>
  <c r="F11" i="1"/>
  <c r="F10" i="1"/>
  <c r="F9" i="1"/>
  <c r="F8" i="1"/>
  <c r="F7" i="1"/>
  <c r="B121" i="2"/>
  <c r="C121" i="2" s="1"/>
  <c r="A121" i="2" s="1"/>
  <c r="B122" i="2"/>
  <c r="C122" i="2" s="1"/>
  <c r="A122" i="2" s="1"/>
  <c r="B123" i="2"/>
  <c r="C123" i="2" s="1"/>
  <c r="A123" i="2" s="1"/>
  <c r="B124" i="2"/>
  <c r="C124" i="2" s="1"/>
  <c r="A124" i="2" s="1"/>
  <c r="B125" i="2"/>
  <c r="C125" i="2" s="1"/>
  <c r="A125" i="2" s="1"/>
  <c r="B126" i="2"/>
  <c r="C126" i="2" s="1"/>
  <c r="A126" i="2" s="1"/>
  <c r="B119" i="2"/>
  <c r="C119" i="2" s="1"/>
  <c r="B101" i="2"/>
  <c r="C101" i="2" s="1"/>
  <c r="A101" i="2" s="1"/>
  <c r="B102" i="2"/>
  <c r="C102" i="2" s="1"/>
  <c r="A102" i="2" s="1"/>
  <c r="B103" i="2"/>
  <c r="C103" i="2" s="1"/>
  <c r="A103" i="2" s="1"/>
  <c r="B104" i="2"/>
  <c r="C104" i="2" s="1"/>
  <c r="A104" i="2" s="1"/>
  <c r="B105" i="2"/>
  <c r="C105" i="2" s="1"/>
  <c r="A105" i="2" s="1"/>
  <c r="B99" i="2"/>
  <c r="C99" i="2" s="1"/>
  <c r="B82" i="2"/>
  <c r="C82" i="2" s="1"/>
  <c r="A82" i="2" s="1"/>
  <c r="B83" i="2"/>
  <c r="C83" i="2" s="1"/>
  <c r="A83" i="2" s="1"/>
  <c r="B84" i="2"/>
  <c r="C84" i="2" s="1"/>
  <c r="A84" i="2" s="1"/>
  <c r="B85" i="2"/>
  <c r="C85" i="2" s="1"/>
  <c r="A85" i="2" s="1"/>
  <c r="B80" i="2"/>
  <c r="C80" i="2" s="1"/>
  <c r="B62" i="2"/>
  <c r="C62" i="2" s="1"/>
  <c r="B45" i="2"/>
  <c r="C45" i="2" s="1"/>
  <c r="B64" i="2"/>
  <c r="C64" i="2" s="1"/>
  <c r="B65" i="2"/>
  <c r="C65" i="2" s="1"/>
  <c r="B66" i="2"/>
  <c r="C66" i="2" s="1"/>
  <c r="B47" i="2"/>
  <c r="C47" i="2" s="1"/>
  <c r="B48" i="2"/>
  <c r="C48" i="2" s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E30" i="3"/>
  <c r="E6" i="3"/>
  <c r="E45" i="3"/>
  <c r="E61" i="3"/>
  <c r="E17" i="3"/>
  <c r="D72" i="5"/>
  <c r="D67" i="5"/>
  <c r="D71" i="5"/>
  <c r="E71" i="5"/>
  <c r="H17" i="5" l="1"/>
  <c r="A65" i="5"/>
  <c r="B45" i="1"/>
  <c r="A125" i="5"/>
  <c r="A126" i="5"/>
  <c r="C101" i="5"/>
  <c r="A101" i="5" s="1"/>
  <c r="A84" i="5"/>
  <c r="C121" i="5"/>
  <c r="A121" i="5" s="1"/>
  <c r="C103" i="5"/>
  <c r="A103" i="5" s="1"/>
  <c r="A82" i="5"/>
  <c r="A83" i="5"/>
  <c r="A124" i="5"/>
  <c r="A66" i="5"/>
  <c r="C102" i="5"/>
  <c r="A102" i="5" s="1"/>
  <c r="C104" i="5"/>
  <c r="A104" i="5" s="1"/>
  <c r="J20" i="7"/>
  <c r="K20" i="7" s="1"/>
  <c r="L18" i="7"/>
  <c r="M18" i="7" s="1"/>
  <c r="K19" i="7"/>
  <c r="J3" i="7"/>
  <c r="K3" i="7" s="1"/>
  <c r="J13" i="7"/>
  <c r="K13" i="7" s="1"/>
  <c r="J10" i="7"/>
  <c r="K10" i="7" s="1"/>
  <c r="J16" i="7"/>
  <c r="K16" i="7" s="1"/>
  <c r="J11" i="7"/>
  <c r="K11" i="7" s="1"/>
  <c r="J15" i="7"/>
  <c r="K15" i="7" s="1"/>
  <c r="J4" i="7"/>
  <c r="K4" i="7" s="1"/>
  <c r="K14" i="7"/>
  <c r="K7" i="7"/>
  <c r="J8" i="7"/>
  <c r="K8" i="7" s="1"/>
  <c r="J6" i="7"/>
  <c r="K6" i="7" s="1"/>
  <c r="J9" i="7"/>
  <c r="K9" i="7" s="1"/>
  <c r="J12" i="7"/>
  <c r="K12" i="7" s="1"/>
  <c r="J17" i="7"/>
  <c r="K17" i="7" s="1"/>
  <c r="K5" i="7"/>
  <c r="I17" i="5"/>
  <c r="A105" i="5"/>
  <c r="A64" i="5"/>
  <c r="A123" i="5"/>
  <c r="A47" i="5"/>
  <c r="A48" i="5"/>
  <c r="I16" i="5"/>
  <c r="L17" i="5"/>
  <c r="N17" i="5"/>
  <c r="H16" i="5"/>
  <c r="H15" i="5"/>
  <c r="L18" i="5"/>
  <c r="J16" i="5"/>
  <c r="M18" i="5"/>
  <c r="K17" i="5"/>
  <c r="K18" i="5"/>
  <c r="J17" i="5"/>
  <c r="K16" i="5"/>
  <c r="J18" i="5"/>
  <c r="M13" i="5"/>
  <c r="N14" i="5"/>
  <c r="K12" i="5"/>
  <c r="N16" i="5"/>
  <c r="I18" i="5"/>
  <c r="M12" i="5"/>
  <c r="Q17" i="5" s="1"/>
  <c r="L12" i="5"/>
  <c r="J13" i="5"/>
  <c r="H14" i="5"/>
  <c r="I15" i="5"/>
  <c r="H18" i="5"/>
  <c r="N13" i="5"/>
  <c r="N12" i="5"/>
  <c r="L13" i="5"/>
  <c r="K13" i="5"/>
  <c r="M14" i="5"/>
  <c r="L15" i="5"/>
  <c r="M16" i="5"/>
  <c r="L14" i="5"/>
  <c r="H13" i="5"/>
  <c r="J12" i="5"/>
  <c r="K14" i="5"/>
  <c r="I12" i="5"/>
  <c r="I14" i="5"/>
  <c r="J15" i="5"/>
  <c r="N15" i="5"/>
  <c r="M15" i="5"/>
  <c r="A64" i="2"/>
  <c r="B133" i="2"/>
  <c r="B88" i="2"/>
  <c r="B109" i="2"/>
  <c r="P65" i="1"/>
  <c r="P67" i="1"/>
  <c r="P68" i="1"/>
  <c r="B107" i="2"/>
  <c r="B89" i="2"/>
  <c r="B111" i="2"/>
  <c r="B128" i="2"/>
  <c r="B108" i="2"/>
  <c r="B129" i="2"/>
  <c r="B87" i="2"/>
  <c r="B90" i="2"/>
  <c r="B110" i="2"/>
  <c r="B130" i="2"/>
  <c r="B131" i="2"/>
  <c r="B132" i="2"/>
  <c r="A47" i="2"/>
  <c r="A48" i="2"/>
  <c r="A66" i="2"/>
  <c r="A65" i="2"/>
  <c r="A13" i="2"/>
  <c r="A6" i="2"/>
  <c r="A19" i="2"/>
  <c r="A9" i="2"/>
  <c r="A14" i="2"/>
  <c r="A24" i="2"/>
  <c r="A4" i="2"/>
  <c r="A7" i="2"/>
  <c r="A17" i="2"/>
  <c r="A11" i="2"/>
  <c r="A15" i="2"/>
  <c r="A22" i="2"/>
  <c r="A12" i="2"/>
  <c r="A21" i="2"/>
  <c r="A18" i="2"/>
  <c r="A16" i="2"/>
  <c r="A20" i="2"/>
  <c r="A23" i="2"/>
  <c r="A10" i="2"/>
  <c r="A8" i="2"/>
  <c r="A5" i="2"/>
  <c r="D74" i="5"/>
  <c r="E65" i="5"/>
  <c r="D71" i="2"/>
  <c r="E74" i="5"/>
  <c r="E73" i="5"/>
  <c r="D75" i="5"/>
  <c r="D65" i="2"/>
  <c r="D66" i="5"/>
  <c r="E72" i="5"/>
  <c r="D65" i="5"/>
  <c r="D64" i="2"/>
  <c r="E70" i="5"/>
  <c r="D73" i="5"/>
  <c r="E69" i="5"/>
  <c r="D64" i="5"/>
  <c r="E66" i="5"/>
  <c r="D70" i="5"/>
  <c r="E68" i="5"/>
  <c r="E67" i="5"/>
  <c r="E64" i="5"/>
  <c r="D68" i="5"/>
  <c r="E75" i="5"/>
  <c r="E64" i="2"/>
  <c r="E71" i="2"/>
  <c r="E65" i="2"/>
  <c r="D69" i="5"/>
  <c r="U13" i="5" l="1"/>
  <c r="S15" i="5"/>
  <c r="T13" i="5"/>
  <c r="V18" i="5"/>
  <c r="T17" i="5"/>
  <c r="T18" i="5"/>
  <c r="U18" i="5"/>
  <c r="W13" i="5"/>
  <c r="V13" i="5"/>
  <c r="S13" i="5"/>
  <c r="AB10" i="5"/>
  <c r="R16" i="5"/>
  <c r="M10" i="7"/>
  <c r="L3" i="7"/>
  <c r="M3" i="7"/>
  <c r="B87" i="5"/>
  <c r="B128" i="5"/>
  <c r="B130" i="5"/>
  <c r="B131" i="5"/>
  <c r="AA125" i="5" s="1"/>
  <c r="B133" i="5"/>
  <c r="B129" i="5"/>
  <c r="B132" i="5"/>
  <c r="G133" i="5" s="1"/>
  <c r="B109" i="5"/>
  <c r="B110" i="5"/>
  <c r="B108" i="5"/>
  <c r="G110" i="5" s="1"/>
  <c r="B107" i="5"/>
  <c r="G109" i="5" s="1"/>
  <c r="B111" i="5"/>
  <c r="G113" i="5" s="1"/>
  <c r="B70" i="5"/>
  <c r="G74" i="5" s="1"/>
  <c r="AA67" i="5" s="1"/>
  <c r="B68" i="5"/>
  <c r="G72" i="5" s="1"/>
  <c r="B69" i="5"/>
  <c r="G73" i="5" s="1"/>
  <c r="I64" i="5" s="1"/>
  <c r="B51" i="5"/>
  <c r="G56" i="5" s="1"/>
  <c r="AA49" i="5" s="1"/>
  <c r="B88" i="5"/>
  <c r="B89" i="5"/>
  <c r="AA85" i="5" s="1"/>
  <c r="B90" i="5"/>
  <c r="AA86" i="5" s="1"/>
  <c r="L19" i="7"/>
  <c r="M19" i="7" s="1"/>
  <c r="L20" i="7"/>
  <c r="M20" i="7" s="1"/>
  <c r="L17" i="7"/>
  <c r="M17" i="7" s="1"/>
  <c r="L12" i="7"/>
  <c r="M12" i="7" s="1"/>
  <c r="L8" i="7"/>
  <c r="M8" i="7" s="1"/>
  <c r="L4" i="7"/>
  <c r="M4" i="7" s="1"/>
  <c r="L11" i="7"/>
  <c r="M11" i="7" s="1"/>
  <c r="L15" i="7"/>
  <c r="M15" i="7" s="1"/>
  <c r="L5" i="7"/>
  <c r="M5" i="7" s="1"/>
  <c r="L9" i="7"/>
  <c r="M9" i="7" s="1"/>
  <c r="L14" i="7"/>
  <c r="M14" i="7" s="1"/>
  <c r="L7" i="7"/>
  <c r="M7" i="7" s="1"/>
  <c r="L16" i="7"/>
  <c r="M16" i="7" s="1"/>
  <c r="L13" i="7"/>
  <c r="M13" i="7" s="1"/>
  <c r="L10" i="7"/>
  <c r="L6" i="7"/>
  <c r="M6" i="7" s="1"/>
  <c r="W15" i="5"/>
  <c r="V16" i="5"/>
  <c r="B50" i="5"/>
  <c r="G55" i="5" s="1"/>
  <c r="P55" i="5" s="1"/>
  <c r="U14" i="5"/>
  <c r="U15" i="5"/>
  <c r="S18" i="5"/>
  <c r="V14" i="5"/>
  <c r="AE11" i="5"/>
  <c r="W12" i="5"/>
  <c r="S12" i="5"/>
  <c r="AE7" i="5"/>
  <c r="AA83" i="5"/>
  <c r="G90" i="5"/>
  <c r="S16" i="5"/>
  <c r="T16" i="5"/>
  <c r="AA122" i="5"/>
  <c r="G129" i="5"/>
  <c r="G130" i="5"/>
  <c r="AA123" i="5"/>
  <c r="AE9" i="5"/>
  <c r="U12" i="5"/>
  <c r="W16" i="5"/>
  <c r="U17" i="5"/>
  <c r="AD11" i="5"/>
  <c r="Q18" i="5"/>
  <c r="AB11" i="5"/>
  <c r="AD8" i="5"/>
  <c r="Q15" i="5"/>
  <c r="AB8" i="5"/>
  <c r="V15" i="5"/>
  <c r="AD9" i="5"/>
  <c r="Q16" i="5"/>
  <c r="AB9" i="5"/>
  <c r="W17" i="5"/>
  <c r="T12" i="5"/>
  <c r="AE8" i="5"/>
  <c r="Q13" i="5"/>
  <c r="AE5" i="5"/>
  <c r="AB6" i="5"/>
  <c r="AD6" i="5"/>
  <c r="AA126" i="5"/>
  <c r="R15" i="5"/>
  <c r="Q14" i="5"/>
  <c r="AD7" i="5"/>
  <c r="AB7" i="5"/>
  <c r="AD10" i="5"/>
  <c r="G131" i="5"/>
  <c r="AA124" i="5"/>
  <c r="S17" i="5"/>
  <c r="G134" i="5"/>
  <c r="AA127" i="5"/>
  <c r="AE10" i="5"/>
  <c r="V12" i="5"/>
  <c r="AA105" i="5"/>
  <c r="G112" i="5"/>
  <c r="R18" i="5"/>
  <c r="G111" i="5"/>
  <c r="AA104" i="5"/>
  <c r="R14" i="5"/>
  <c r="R12" i="5"/>
  <c r="AB5" i="5"/>
  <c r="AD5" i="5"/>
  <c r="AE6" i="5"/>
  <c r="T14" i="5"/>
  <c r="W14" i="5"/>
  <c r="R17" i="5"/>
  <c r="B70" i="2"/>
  <c r="G74" i="2" s="1"/>
  <c r="B68" i="2"/>
  <c r="G72" i="2" s="1"/>
  <c r="B69" i="2"/>
  <c r="G73" i="2" s="1"/>
  <c r="B50" i="2"/>
  <c r="G55" i="2" s="1"/>
  <c r="H47" i="2" s="1"/>
  <c r="B51" i="2"/>
  <c r="G56" i="2" s="1"/>
  <c r="I47" i="2" s="1"/>
  <c r="R47" i="2" s="1"/>
  <c r="AA102" i="2"/>
  <c r="G109" i="2"/>
  <c r="AA124" i="2"/>
  <c r="G131" i="2"/>
  <c r="G110" i="2"/>
  <c r="AA103" i="2"/>
  <c r="G113" i="2"/>
  <c r="AA106" i="2"/>
  <c r="AA122" i="2"/>
  <c r="G129" i="2"/>
  <c r="G91" i="2"/>
  <c r="AA84" i="2"/>
  <c r="G112" i="2"/>
  <c r="AA105" i="2"/>
  <c r="G133" i="2"/>
  <c r="AA126" i="2"/>
  <c r="G93" i="2"/>
  <c r="AA86" i="2"/>
  <c r="AA83" i="2"/>
  <c r="G90" i="2"/>
  <c r="G111" i="2"/>
  <c r="AA104" i="2"/>
  <c r="AA123" i="2"/>
  <c r="G130" i="2"/>
  <c r="AA125" i="2"/>
  <c r="G132" i="2"/>
  <c r="G134" i="2"/>
  <c r="AA127" i="2"/>
  <c r="G92" i="2"/>
  <c r="AA85" i="2"/>
  <c r="I18" i="2"/>
  <c r="N13" i="2"/>
  <c r="J17" i="2"/>
  <c r="N16" i="2"/>
  <c r="K18" i="2"/>
  <c r="K12" i="2"/>
  <c r="N12" i="2"/>
  <c r="M18" i="2"/>
  <c r="I17" i="2"/>
  <c r="H14" i="2"/>
  <c r="M16" i="2"/>
  <c r="J18" i="2"/>
  <c r="N17" i="2"/>
  <c r="J12" i="2"/>
  <c r="J15" i="2"/>
  <c r="I15" i="2"/>
  <c r="L12" i="2"/>
  <c r="M12" i="2"/>
  <c r="I14" i="2"/>
  <c r="I16" i="2"/>
  <c r="K13" i="2"/>
  <c r="J13" i="2"/>
  <c r="L17" i="2"/>
  <c r="M13" i="2"/>
  <c r="I12" i="2"/>
  <c r="H17" i="2"/>
  <c r="L13" i="2"/>
  <c r="N14" i="2"/>
  <c r="L18" i="2"/>
  <c r="K14" i="2"/>
  <c r="K17" i="2"/>
  <c r="M14" i="2"/>
  <c r="H16" i="2"/>
  <c r="L14" i="2"/>
  <c r="H13" i="2"/>
  <c r="N15" i="2"/>
  <c r="H15" i="2"/>
  <c r="J16" i="2"/>
  <c r="M15" i="2"/>
  <c r="H18" i="2"/>
  <c r="L15" i="2"/>
  <c r="K16" i="2"/>
  <c r="D67" i="2"/>
  <c r="E67" i="2"/>
  <c r="E70" i="2"/>
  <c r="D74" i="2"/>
  <c r="D70" i="2"/>
  <c r="E72" i="2"/>
  <c r="D66" i="2"/>
  <c r="E66" i="2"/>
  <c r="E68" i="2"/>
  <c r="D72" i="2"/>
  <c r="E74" i="2"/>
  <c r="D68" i="2"/>
  <c r="AF9" i="5" l="1"/>
  <c r="P56" i="5"/>
  <c r="AC6" i="5"/>
  <c r="Z6" i="5" s="1"/>
  <c r="AF11" i="5"/>
  <c r="AE7" i="2"/>
  <c r="AB11" i="2"/>
  <c r="AD11" i="2"/>
  <c r="AB7" i="2"/>
  <c r="AD7" i="2"/>
  <c r="AD10" i="2"/>
  <c r="AB10" i="2"/>
  <c r="AE10" i="2"/>
  <c r="AD6" i="2"/>
  <c r="AB6" i="2"/>
  <c r="AE5" i="2"/>
  <c r="AE8" i="2"/>
  <c r="AB8" i="2"/>
  <c r="AD8" i="2"/>
  <c r="AE9" i="2"/>
  <c r="AB9" i="2"/>
  <c r="AD9" i="2"/>
  <c r="AE11" i="2"/>
  <c r="AD5" i="2"/>
  <c r="AE6" i="2"/>
  <c r="AB5" i="2"/>
  <c r="I47" i="5"/>
  <c r="R47" i="5" s="1"/>
  <c r="G132" i="5"/>
  <c r="P74" i="5"/>
  <c r="AA102" i="5"/>
  <c r="I72" i="5"/>
  <c r="G91" i="5"/>
  <c r="AA84" i="5"/>
  <c r="G92" i="5"/>
  <c r="J82" i="5" s="1"/>
  <c r="J90" i="5" s="1"/>
  <c r="H47" i="5"/>
  <c r="Q47" i="5" s="1"/>
  <c r="AA66" i="5"/>
  <c r="AA106" i="5"/>
  <c r="AA48" i="5"/>
  <c r="AA103" i="5"/>
  <c r="G93" i="5"/>
  <c r="K82" i="5" s="1"/>
  <c r="K92" i="5" s="1"/>
  <c r="J64" i="5"/>
  <c r="S64" i="5" s="1"/>
  <c r="AA65" i="5"/>
  <c r="P73" i="5"/>
  <c r="H64" i="5"/>
  <c r="H74" i="5" s="1"/>
  <c r="P72" i="5"/>
  <c r="P3" i="7"/>
  <c r="AF6" i="5"/>
  <c r="AC10" i="5"/>
  <c r="Z10" i="5" s="1"/>
  <c r="AF8" i="5"/>
  <c r="P113" i="5"/>
  <c r="L101" i="5"/>
  <c r="U101" i="5" s="1"/>
  <c r="H121" i="5"/>
  <c r="P129" i="5"/>
  <c r="K101" i="5"/>
  <c r="K109" i="5" s="1"/>
  <c r="P112" i="5"/>
  <c r="AC11" i="5"/>
  <c r="Z11" i="5" s="1"/>
  <c r="P134" i="5"/>
  <c r="M121" i="5"/>
  <c r="V121" i="5" s="1"/>
  <c r="P109" i="5"/>
  <c r="H101" i="5"/>
  <c r="AC9" i="5"/>
  <c r="Z9" i="5" s="1"/>
  <c r="H82" i="5"/>
  <c r="P90" i="5"/>
  <c r="AF10" i="5"/>
  <c r="K121" i="5"/>
  <c r="K130" i="5" s="1"/>
  <c r="P132" i="5"/>
  <c r="AF7" i="5"/>
  <c r="I55" i="5"/>
  <c r="AC5" i="5"/>
  <c r="Z5" i="5" s="1"/>
  <c r="AC7" i="5"/>
  <c r="Z7" i="5" s="1"/>
  <c r="I121" i="5"/>
  <c r="I129" i="5" s="1"/>
  <c r="P130" i="5"/>
  <c r="J101" i="5"/>
  <c r="J110" i="5" s="1"/>
  <c r="P111" i="5"/>
  <c r="L121" i="5"/>
  <c r="P133" i="5"/>
  <c r="P110" i="5"/>
  <c r="I101" i="5"/>
  <c r="I109" i="5" s="1"/>
  <c r="P131" i="5"/>
  <c r="J121" i="5"/>
  <c r="J130" i="5" s="1"/>
  <c r="AF5" i="5"/>
  <c r="AB12" i="5"/>
  <c r="R64" i="5"/>
  <c r="I74" i="5"/>
  <c r="AC8" i="5"/>
  <c r="Z8" i="5" s="1"/>
  <c r="H64" i="2"/>
  <c r="H74" i="2" s="1"/>
  <c r="AA65" i="2"/>
  <c r="P72" i="2"/>
  <c r="P56" i="2"/>
  <c r="P90" i="2"/>
  <c r="H82" i="2"/>
  <c r="P93" i="2"/>
  <c r="K82" i="2"/>
  <c r="T82" i="2" s="1"/>
  <c r="L121" i="2"/>
  <c r="L132" i="2" s="1"/>
  <c r="P133" i="2"/>
  <c r="P112" i="2"/>
  <c r="K101" i="2"/>
  <c r="K109" i="2" s="1"/>
  <c r="P92" i="2"/>
  <c r="J82" i="2"/>
  <c r="J91" i="2" s="1"/>
  <c r="P91" i="2"/>
  <c r="I82" i="2"/>
  <c r="P129" i="2"/>
  <c r="H121" i="2"/>
  <c r="M121" i="2"/>
  <c r="V121" i="2" s="1"/>
  <c r="P134" i="2"/>
  <c r="P113" i="2"/>
  <c r="L101" i="2"/>
  <c r="U101" i="2" s="1"/>
  <c r="K121" i="2"/>
  <c r="P132" i="2"/>
  <c r="P110" i="2"/>
  <c r="I101" i="2"/>
  <c r="I109" i="2" s="1"/>
  <c r="P130" i="2"/>
  <c r="I121" i="2"/>
  <c r="L131" i="2"/>
  <c r="J121" i="2"/>
  <c r="P131" i="2"/>
  <c r="I55" i="2"/>
  <c r="P55" i="2"/>
  <c r="P109" i="2"/>
  <c r="H101" i="2"/>
  <c r="P111" i="2"/>
  <c r="J101" i="2"/>
  <c r="J109" i="2" s="1"/>
  <c r="J64" i="2"/>
  <c r="J73" i="2" s="1"/>
  <c r="AA67" i="2"/>
  <c r="P74" i="2"/>
  <c r="AA66" i="2"/>
  <c r="I64" i="2"/>
  <c r="P73" i="2"/>
  <c r="Q47" i="2"/>
  <c r="H56" i="2"/>
  <c r="W13" i="2"/>
  <c r="W17" i="2"/>
  <c r="Q15" i="2"/>
  <c r="V12" i="2"/>
  <c r="W15" i="2"/>
  <c r="Q13" i="2"/>
  <c r="S12" i="2"/>
  <c r="T13" i="2"/>
  <c r="Q18" i="2"/>
  <c r="U15" i="2"/>
  <c r="U12" i="2"/>
  <c r="V15" i="2"/>
  <c r="R14" i="2"/>
  <c r="V14" i="2"/>
  <c r="V16" i="2"/>
  <c r="T12" i="2"/>
  <c r="W12" i="2"/>
  <c r="U14" i="2"/>
  <c r="V13" i="2"/>
  <c r="W16" i="2"/>
  <c r="W14" i="2"/>
  <c r="R12" i="2"/>
  <c r="T14" i="2"/>
  <c r="U13" i="2"/>
  <c r="S13" i="2"/>
  <c r="R17" i="2"/>
  <c r="R15" i="2"/>
  <c r="Q14" i="2"/>
  <c r="Q17" i="2"/>
  <c r="Q16" i="2"/>
  <c r="R18" i="2"/>
  <c r="S17" i="2"/>
  <c r="T17" i="2"/>
  <c r="U18" i="2"/>
  <c r="V18" i="2"/>
  <c r="S18" i="2"/>
  <c r="T18" i="2"/>
  <c r="T16" i="2"/>
  <c r="S16" i="2"/>
  <c r="U17" i="2"/>
  <c r="S15" i="2"/>
  <c r="R16" i="2"/>
  <c r="D75" i="2"/>
  <c r="E75" i="2"/>
  <c r="D69" i="2"/>
  <c r="E73" i="2"/>
  <c r="D73" i="2"/>
  <c r="E69" i="2"/>
  <c r="H56" i="5" l="1"/>
  <c r="R55" i="5" s="1"/>
  <c r="AC48" i="5" s="1"/>
  <c r="AE66" i="5"/>
  <c r="AC8" i="2"/>
  <c r="AC10" i="2"/>
  <c r="AC11" i="2"/>
  <c r="AC5" i="2"/>
  <c r="AC9" i="2"/>
  <c r="AC7" i="2"/>
  <c r="AC6" i="2"/>
  <c r="L132" i="5"/>
  <c r="P93" i="5"/>
  <c r="P92" i="5"/>
  <c r="H73" i="5"/>
  <c r="R72" i="5" s="1"/>
  <c r="Q64" i="5"/>
  <c r="K110" i="5"/>
  <c r="J72" i="5"/>
  <c r="Q74" i="5" s="1"/>
  <c r="L109" i="5"/>
  <c r="AE106" i="5" s="1"/>
  <c r="L111" i="5"/>
  <c r="J73" i="5"/>
  <c r="S73" i="5" s="1"/>
  <c r="K91" i="2"/>
  <c r="K92" i="2"/>
  <c r="I82" i="5"/>
  <c r="P91" i="5"/>
  <c r="J109" i="5"/>
  <c r="AE104" i="5" s="1"/>
  <c r="L110" i="5"/>
  <c r="K129" i="5"/>
  <c r="AE125" i="5" s="1"/>
  <c r="AE85" i="5"/>
  <c r="AD67" i="5"/>
  <c r="Y6" i="5"/>
  <c r="AC12" i="5" a="1"/>
  <c r="AC12" i="5" s="1"/>
  <c r="AA12" i="5" s="1"/>
  <c r="B56" i="4" s="1"/>
  <c r="C56" i="4" s="1"/>
  <c r="AE49" i="5"/>
  <c r="AD48" i="5"/>
  <c r="M132" i="5"/>
  <c r="AE103" i="5"/>
  <c r="AD102" i="5"/>
  <c r="L134" i="5"/>
  <c r="U121" i="5"/>
  <c r="T82" i="5"/>
  <c r="K91" i="5"/>
  <c r="J113" i="5"/>
  <c r="S101" i="5"/>
  <c r="J112" i="5"/>
  <c r="H111" i="5"/>
  <c r="H113" i="5"/>
  <c r="Q101" i="5"/>
  <c r="H112" i="5"/>
  <c r="H110" i="5"/>
  <c r="R109" i="5" s="1"/>
  <c r="Y7" i="5"/>
  <c r="AE105" i="5"/>
  <c r="T101" i="5"/>
  <c r="K113" i="5"/>
  <c r="J133" i="5"/>
  <c r="S121" i="5"/>
  <c r="J132" i="5"/>
  <c r="J134" i="5"/>
  <c r="L130" i="5"/>
  <c r="K90" i="5"/>
  <c r="L131" i="5"/>
  <c r="M130" i="5"/>
  <c r="M129" i="5"/>
  <c r="K131" i="5"/>
  <c r="L129" i="5"/>
  <c r="M131" i="5"/>
  <c r="Q82" i="5"/>
  <c r="H93" i="5"/>
  <c r="H91" i="5"/>
  <c r="H92" i="5"/>
  <c r="J93" i="5"/>
  <c r="S93" i="5" s="1"/>
  <c r="S82" i="5"/>
  <c r="J91" i="5"/>
  <c r="T121" i="5"/>
  <c r="K134" i="5"/>
  <c r="K133" i="5"/>
  <c r="T133" i="5" s="1"/>
  <c r="M133" i="5"/>
  <c r="V133" i="5" s="1"/>
  <c r="L112" i="5"/>
  <c r="K111" i="5"/>
  <c r="AE123" i="5"/>
  <c r="AD122" i="5"/>
  <c r="J129" i="5"/>
  <c r="I111" i="5"/>
  <c r="R111" i="5" s="1"/>
  <c r="I113" i="5"/>
  <c r="R101" i="5"/>
  <c r="I112" i="5"/>
  <c r="R121" i="5"/>
  <c r="I133" i="5"/>
  <c r="I131" i="5"/>
  <c r="R131" i="5" s="1"/>
  <c r="I134" i="5"/>
  <c r="I132" i="5"/>
  <c r="R132" i="5" s="1"/>
  <c r="Y9" i="5"/>
  <c r="H130" i="5"/>
  <c r="R129" i="5" s="1"/>
  <c r="H133" i="5"/>
  <c r="Q121" i="5"/>
  <c r="H134" i="5"/>
  <c r="H131" i="5"/>
  <c r="H132" i="5"/>
  <c r="H73" i="2"/>
  <c r="AE65" i="2" s="1"/>
  <c r="Q64" i="2"/>
  <c r="L112" i="2"/>
  <c r="L110" i="2"/>
  <c r="J110" i="2"/>
  <c r="K110" i="2"/>
  <c r="Q56" i="2"/>
  <c r="M132" i="2"/>
  <c r="L109" i="2"/>
  <c r="AE106" i="2" s="1"/>
  <c r="M133" i="2"/>
  <c r="AE103" i="2"/>
  <c r="AD102" i="2"/>
  <c r="Q101" i="2"/>
  <c r="H110" i="2"/>
  <c r="H113" i="2"/>
  <c r="H111" i="2"/>
  <c r="S109" i="2" s="1"/>
  <c r="H112" i="2"/>
  <c r="T109" i="2" s="1"/>
  <c r="R82" i="2"/>
  <c r="I92" i="2"/>
  <c r="R92" i="2" s="1"/>
  <c r="I93" i="2"/>
  <c r="S82" i="2"/>
  <c r="J93" i="2"/>
  <c r="AE105" i="2"/>
  <c r="K134" i="2"/>
  <c r="T121" i="2"/>
  <c r="K133" i="2"/>
  <c r="T133" i="2" s="1"/>
  <c r="S121" i="2"/>
  <c r="J133" i="2"/>
  <c r="J132" i="2"/>
  <c r="J134" i="2"/>
  <c r="I90" i="2"/>
  <c r="J90" i="2"/>
  <c r="R101" i="2"/>
  <c r="I113" i="2"/>
  <c r="I111" i="2"/>
  <c r="I112" i="2"/>
  <c r="AE104" i="2"/>
  <c r="K113" i="2"/>
  <c r="T101" i="2"/>
  <c r="K131" i="2"/>
  <c r="U121" i="2"/>
  <c r="L134" i="2"/>
  <c r="M131" i="2"/>
  <c r="H132" i="2"/>
  <c r="H130" i="2"/>
  <c r="H131" i="2"/>
  <c r="Q121" i="2"/>
  <c r="H134" i="2"/>
  <c r="H133" i="2"/>
  <c r="I131" i="2"/>
  <c r="R121" i="2"/>
  <c r="I134" i="2"/>
  <c r="I133" i="2"/>
  <c r="I132" i="2"/>
  <c r="J129" i="2"/>
  <c r="K129" i="2"/>
  <c r="H91" i="2"/>
  <c r="H92" i="2"/>
  <c r="H93" i="2"/>
  <c r="Q82" i="2"/>
  <c r="J130" i="2"/>
  <c r="I129" i="2"/>
  <c r="L111" i="2"/>
  <c r="K130" i="2"/>
  <c r="L129" i="2"/>
  <c r="K111" i="2"/>
  <c r="L130" i="2"/>
  <c r="M129" i="2"/>
  <c r="S101" i="2"/>
  <c r="J112" i="2"/>
  <c r="J113" i="2"/>
  <c r="M130" i="2"/>
  <c r="K90" i="2"/>
  <c r="I74" i="2"/>
  <c r="AD67" i="2" s="1"/>
  <c r="R64" i="2"/>
  <c r="I72" i="2"/>
  <c r="S64" i="2"/>
  <c r="J72" i="2"/>
  <c r="R55" i="2"/>
  <c r="AB12" i="2"/>
  <c r="AF5" i="2"/>
  <c r="AF9" i="2"/>
  <c r="AF11" i="2"/>
  <c r="AF7" i="2"/>
  <c r="AF8" i="2"/>
  <c r="AF6" i="2"/>
  <c r="AF10" i="2"/>
  <c r="AE48" i="5" l="1"/>
  <c r="AF48" i="5" s="1"/>
  <c r="Z48" i="5" s="1"/>
  <c r="Q56" i="5"/>
  <c r="AC49" i="5" s="1"/>
  <c r="AB48" i="5"/>
  <c r="AD49" i="5"/>
  <c r="AB49" i="5"/>
  <c r="AD66" i="5"/>
  <c r="AF66" i="5" s="1"/>
  <c r="AD65" i="5"/>
  <c r="AB67" i="5"/>
  <c r="S72" i="5"/>
  <c r="AC65" i="5" s="1"/>
  <c r="U130" i="5"/>
  <c r="Y11" i="5"/>
  <c r="S113" i="5"/>
  <c r="Q73" i="5"/>
  <c r="AC66" i="5" s="1"/>
  <c r="AB66" i="5"/>
  <c r="S110" i="5"/>
  <c r="AE67" i="5"/>
  <c r="AF67" i="5" s="1"/>
  <c r="R93" i="2"/>
  <c r="R112" i="5"/>
  <c r="AE65" i="5"/>
  <c r="AF65" i="5" s="1"/>
  <c r="R74" i="5"/>
  <c r="AC67" i="5" s="1"/>
  <c r="R113" i="5"/>
  <c r="AB65" i="5"/>
  <c r="S133" i="5"/>
  <c r="T113" i="5"/>
  <c r="I92" i="5"/>
  <c r="R92" i="5" s="1"/>
  <c r="I93" i="5"/>
  <c r="T91" i="5" s="1"/>
  <c r="R82" i="5"/>
  <c r="I90" i="5"/>
  <c r="S93" i="2"/>
  <c r="V132" i="5"/>
  <c r="AF49" i="5"/>
  <c r="U110" i="5"/>
  <c r="V131" i="5"/>
  <c r="Y8" i="5"/>
  <c r="V130" i="5"/>
  <c r="T111" i="5"/>
  <c r="T131" i="5"/>
  <c r="U111" i="5"/>
  <c r="T92" i="5"/>
  <c r="Q131" i="5"/>
  <c r="AD124" i="5"/>
  <c r="AB124" i="5"/>
  <c r="Q113" i="5"/>
  <c r="AB106" i="5"/>
  <c r="AD106" i="5"/>
  <c r="AF106" i="5" s="1"/>
  <c r="AD126" i="5"/>
  <c r="AB126" i="5"/>
  <c r="Q133" i="5"/>
  <c r="AD123" i="5"/>
  <c r="AF123" i="5" s="1"/>
  <c r="AB123" i="5"/>
  <c r="AE122" i="5"/>
  <c r="AF122" i="5" s="1"/>
  <c r="Q130" i="5"/>
  <c r="S129" i="5"/>
  <c r="AE124" i="5"/>
  <c r="AB122" i="5"/>
  <c r="Q93" i="5"/>
  <c r="AD86" i="5"/>
  <c r="AD105" i="5"/>
  <c r="AF105" i="5" s="1"/>
  <c r="AB105" i="5"/>
  <c r="Q112" i="5"/>
  <c r="U129" i="5"/>
  <c r="AE126" i="5"/>
  <c r="AD85" i="5"/>
  <c r="AF85" i="5" s="1"/>
  <c r="Q92" i="5"/>
  <c r="AD103" i="5"/>
  <c r="AF103" i="5" s="1"/>
  <c r="Q110" i="5"/>
  <c r="AB103" i="5"/>
  <c r="AE102" i="5"/>
  <c r="AF102" i="5" s="1"/>
  <c r="S112" i="5"/>
  <c r="T90" i="5"/>
  <c r="AE86" i="5"/>
  <c r="U109" i="5"/>
  <c r="T134" i="5"/>
  <c r="U134" i="5"/>
  <c r="S134" i="5"/>
  <c r="T130" i="5"/>
  <c r="AE83" i="5"/>
  <c r="AD84" i="5"/>
  <c r="AB125" i="5"/>
  <c r="Q132" i="5"/>
  <c r="AD125" i="5"/>
  <c r="AF125" i="5" s="1"/>
  <c r="Q111" i="5"/>
  <c r="AB104" i="5"/>
  <c r="AD104" i="5"/>
  <c r="AF104" i="5" s="1"/>
  <c r="V129" i="5"/>
  <c r="AE127" i="5"/>
  <c r="U112" i="5"/>
  <c r="U131" i="5"/>
  <c r="R133" i="5"/>
  <c r="S132" i="5"/>
  <c r="S109" i="5"/>
  <c r="T129" i="5"/>
  <c r="AD127" i="5"/>
  <c r="AB127" i="5"/>
  <c r="Q134" i="5"/>
  <c r="R134" i="5"/>
  <c r="Y5" i="5"/>
  <c r="Y10" i="5"/>
  <c r="T109" i="5"/>
  <c r="T110" i="5"/>
  <c r="U132" i="5"/>
  <c r="S130" i="5"/>
  <c r="AB102" i="5"/>
  <c r="S90" i="5"/>
  <c r="AD66" i="2"/>
  <c r="Q73" i="2"/>
  <c r="U109" i="2"/>
  <c r="S112" i="2"/>
  <c r="R133" i="2"/>
  <c r="T130" i="2"/>
  <c r="S113" i="2"/>
  <c r="S134" i="2"/>
  <c r="V132" i="2"/>
  <c r="T113" i="2"/>
  <c r="R111" i="2"/>
  <c r="R112" i="2"/>
  <c r="R131" i="2"/>
  <c r="T134" i="2"/>
  <c r="U110" i="2"/>
  <c r="T91" i="2"/>
  <c r="R113" i="2"/>
  <c r="AB67" i="2"/>
  <c r="U134" i="2"/>
  <c r="V130" i="2"/>
  <c r="R134" i="2"/>
  <c r="AB126" i="2"/>
  <c r="AD126" i="2"/>
  <c r="S110" i="2"/>
  <c r="AB127" i="2"/>
  <c r="AD127" i="2"/>
  <c r="Q134" i="2"/>
  <c r="U130" i="2"/>
  <c r="T111" i="2"/>
  <c r="AB124" i="2"/>
  <c r="AD124" i="2"/>
  <c r="Q131" i="2"/>
  <c r="AB123" i="2"/>
  <c r="Q130" i="2"/>
  <c r="AE122" i="2"/>
  <c r="AD123" i="2"/>
  <c r="AB125" i="2"/>
  <c r="AD125" i="2"/>
  <c r="U111" i="2"/>
  <c r="T110" i="2"/>
  <c r="T131" i="2"/>
  <c r="S132" i="2"/>
  <c r="U131" i="2"/>
  <c r="S133" i="2"/>
  <c r="V131" i="2"/>
  <c r="Q111" i="2"/>
  <c r="AB104" i="2"/>
  <c r="AD104" i="2"/>
  <c r="AF104" i="2" s="1"/>
  <c r="R129" i="2"/>
  <c r="AE123" i="2"/>
  <c r="AB122" i="2"/>
  <c r="AD122" i="2"/>
  <c r="AB106" i="2"/>
  <c r="Q113" i="2"/>
  <c r="AD106" i="2"/>
  <c r="AF106" i="2" s="1"/>
  <c r="S130" i="2"/>
  <c r="AB103" i="2"/>
  <c r="Q110" i="2"/>
  <c r="AE102" i="2"/>
  <c r="AF102" i="2" s="1"/>
  <c r="AD103" i="2"/>
  <c r="AF103" i="2" s="1"/>
  <c r="Q93" i="2"/>
  <c r="AB86" i="2"/>
  <c r="AD86" i="2"/>
  <c r="V133" i="2"/>
  <c r="AD85" i="2"/>
  <c r="AB85" i="2"/>
  <c r="Q92" i="2"/>
  <c r="AE86" i="2"/>
  <c r="T90" i="2"/>
  <c r="AE127" i="2"/>
  <c r="V129" i="2"/>
  <c r="AE85" i="2"/>
  <c r="S90" i="2"/>
  <c r="AD83" i="2"/>
  <c r="AB83" i="2"/>
  <c r="AE84" i="2"/>
  <c r="R90" i="2"/>
  <c r="Q133" i="2"/>
  <c r="AE126" i="2"/>
  <c r="U129" i="2"/>
  <c r="R132" i="2"/>
  <c r="AB105" i="2"/>
  <c r="Q112" i="2"/>
  <c r="AD105" i="2"/>
  <c r="AF105" i="2" s="1"/>
  <c r="AB84" i="2"/>
  <c r="AD84" i="2"/>
  <c r="Q91" i="2"/>
  <c r="AE83" i="2"/>
  <c r="AB102" i="2"/>
  <c r="Q132" i="2"/>
  <c r="AE125" i="2"/>
  <c r="T129" i="2"/>
  <c r="U132" i="2"/>
  <c r="U112" i="2"/>
  <c r="AE124" i="2"/>
  <c r="S129" i="2"/>
  <c r="S91" i="2"/>
  <c r="T92" i="2"/>
  <c r="R109" i="2"/>
  <c r="AE66" i="2"/>
  <c r="AB65" i="2"/>
  <c r="AD65" i="2"/>
  <c r="AF65" i="2" s="1"/>
  <c r="AB66" i="2"/>
  <c r="AE67" i="2"/>
  <c r="AF67" i="2" s="1"/>
  <c r="Q74" i="2"/>
  <c r="AC12" i="2" a="1"/>
  <c r="AC12" i="2" s="1"/>
  <c r="Z6" i="2"/>
  <c r="Z5" i="2"/>
  <c r="Z8" i="2"/>
  <c r="Z9" i="2"/>
  <c r="Z10" i="2"/>
  <c r="Z7" i="2"/>
  <c r="Z11" i="2"/>
  <c r="Z49" i="5" l="1"/>
  <c r="Y48" i="5" s="1"/>
  <c r="Z66" i="5"/>
  <c r="Z65" i="5"/>
  <c r="Z67" i="5"/>
  <c r="AB84" i="5"/>
  <c r="AC106" i="5"/>
  <c r="C55" i="4"/>
  <c r="C54" i="4"/>
  <c r="C53" i="4"/>
  <c r="C52" i="4"/>
  <c r="C51" i="4"/>
  <c r="C50" i="4"/>
  <c r="C49" i="4"/>
  <c r="AC85" i="5"/>
  <c r="Y85" i="5" s="1"/>
  <c r="R93" i="5"/>
  <c r="AC86" i="5" s="1"/>
  <c r="Y86" i="5" s="1"/>
  <c r="AB85" i="5"/>
  <c r="R90" i="5"/>
  <c r="AC83" i="5" s="1"/>
  <c r="Q91" i="5"/>
  <c r="AC102" i="5"/>
  <c r="Y102" i="5" s="1"/>
  <c r="AB86" i="5"/>
  <c r="S91" i="5"/>
  <c r="AC84" i="5" s="1"/>
  <c r="Y84" i="5" s="1"/>
  <c r="AD83" i="5"/>
  <c r="AF83" i="5" s="1"/>
  <c r="AE84" i="5"/>
  <c r="AF84" i="5" s="1"/>
  <c r="AB83" i="5"/>
  <c r="AC86" i="2"/>
  <c r="Y86" i="2" s="1"/>
  <c r="AC122" i="5"/>
  <c r="Y122" i="5" s="1"/>
  <c r="AC104" i="5"/>
  <c r="Y104" i="5" s="1"/>
  <c r="AC125" i="5"/>
  <c r="Y125" i="5" s="1"/>
  <c r="AC126" i="5"/>
  <c r="Y126" i="5" s="1"/>
  <c r="AC127" i="5"/>
  <c r="Y127" i="5" s="1"/>
  <c r="Y106" i="5"/>
  <c r="AC124" i="5"/>
  <c r="Y124" i="5" s="1"/>
  <c r="AC123" i="5"/>
  <c r="Y123" i="5" s="1"/>
  <c r="AF126" i="5"/>
  <c r="AC105" i="5"/>
  <c r="Y105" i="5" s="1"/>
  <c r="AF124" i="5"/>
  <c r="AC103" i="5"/>
  <c r="Y103" i="5" s="1"/>
  <c r="AF127" i="5"/>
  <c r="AF86" i="5"/>
  <c r="AF66" i="2"/>
  <c r="AC102" i="2"/>
  <c r="Y102" i="2" s="1"/>
  <c r="AF126" i="2"/>
  <c r="AC84" i="2"/>
  <c r="Y84" i="2" s="1"/>
  <c r="AC85" i="2"/>
  <c r="Y85" i="2" s="1"/>
  <c r="AC127" i="2"/>
  <c r="Y127" i="2" s="1"/>
  <c r="AF123" i="2"/>
  <c r="AF83" i="2"/>
  <c r="AC106" i="2"/>
  <c r="Y106" i="2" s="1"/>
  <c r="AC124" i="2"/>
  <c r="Y124" i="2" s="1"/>
  <c r="AC83" i="2"/>
  <c r="Y83" i="2" s="1"/>
  <c r="AC126" i="2"/>
  <c r="Y126" i="2" s="1"/>
  <c r="AC103" i="2"/>
  <c r="Y103" i="2" s="1"/>
  <c r="AF125" i="2"/>
  <c r="AC125" i="2"/>
  <c r="Y125" i="2" s="1"/>
  <c r="AF84" i="2"/>
  <c r="AF127" i="2"/>
  <c r="AF86" i="2"/>
  <c r="AF122" i="2"/>
  <c r="AC105" i="2"/>
  <c r="Y105" i="2" s="1"/>
  <c r="AC123" i="2"/>
  <c r="Y123" i="2" s="1"/>
  <c r="AF124" i="2"/>
  <c r="AC122" i="2"/>
  <c r="Y122" i="2" s="1"/>
  <c r="AC104" i="2"/>
  <c r="Y104" i="2" s="1"/>
  <c r="AF85" i="2"/>
  <c r="AA12" i="2"/>
  <c r="B56" i="1" s="1"/>
  <c r="C56" i="1" s="1"/>
  <c r="Y11" i="2"/>
  <c r="Y10" i="2"/>
  <c r="Y6" i="2"/>
  <c r="Y9" i="2"/>
  <c r="Y8" i="2"/>
  <c r="Y5" i="2"/>
  <c r="C49" i="1" s="1"/>
  <c r="Y7" i="2"/>
  <c r="C55" i="3"/>
  <c r="E55" i="3"/>
  <c r="H54" i="3"/>
  <c r="H56" i="3"/>
  <c r="D54" i="3"/>
  <c r="C54" i="3"/>
  <c r="G54" i="3"/>
  <c r="D55" i="3"/>
  <c r="E56" i="3"/>
  <c r="D57" i="3"/>
  <c r="E54" i="3"/>
  <c r="F53" i="3"/>
  <c r="C53" i="3"/>
  <c r="D53" i="3"/>
  <c r="F54" i="3"/>
  <c r="E53" i="3"/>
  <c r="F55" i="3"/>
  <c r="F57" i="3"/>
  <c r="H55" i="3"/>
  <c r="G56" i="3"/>
  <c r="D56" i="3"/>
  <c r="H57" i="3"/>
  <c r="C56" i="3"/>
  <c r="G53" i="3"/>
  <c r="H53" i="3"/>
  <c r="G57" i="3"/>
  <c r="C57" i="3"/>
  <c r="G55" i="3"/>
  <c r="E57" i="3"/>
  <c r="F56" i="3"/>
  <c r="Y49" i="5" l="1"/>
  <c r="Y67" i="5"/>
  <c r="Y65" i="5"/>
  <c r="Y66" i="5"/>
  <c r="Y83" i="5"/>
  <c r="I51" i="4"/>
  <c r="G51" i="4"/>
  <c r="H51" i="4"/>
  <c r="J51" i="4"/>
  <c r="K51" i="4"/>
  <c r="F51" i="4"/>
  <c r="H52" i="4"/>
  <c r="I52" i="4"/>
  <c r="J52" i="4"/>
  <c r="F52" i="4"/>
  <c r="K64" i="4" s="1"/>
  <c r="G52" i="4"/>
  <c r="K52" i="4"/>
  <c r="G53" i="4"/>
  <c r="G37" i="5"/>
  <c r="F53" i="4"/>
  <c r="J53" i="4"/>
  <c r="H53" i="4"/>
  <c r="I53" i="4"/>
  <c r="K53" i="4"/>
  <c r="F49" i="4"/>
  <c r="J49" i="4"/>
  <c r="I49" i="4"/>
  <c r="H49" i="4"/>
  <c r="G49" i="4"/>
  <c r="K49" i="4"/>
  <c r="I54" i="4"/>
  <c r="F54" i="4"/>
  <c r="K54" i="4"/>
  <c r="G38" i="5"/>
  <c r="J54" i="4"/>
  <c r="G54" i="4"/>
  <c r="H54" i="4"/>
  <c r="J50" i="4"/>
  <c r="F50" i="4"/>
  <c r="K50" i="4"/>
  <c r="H50" i="4"/>
  <c r="I50" i="4"/>
  <c r="G50" i="4"/>
  <c r="J55" i="4"/>
  <c r="G55" i="4"/>
  <c r="H55" i="4"/>
  <c r="I55" i="4"/>
  <c r="F55" i="4"/>
  <c r="G39" i="5"/>
  <c r="K55" i="4"/>
  <c r="F49" i="1"/>
  <c r="D64" i="1" s="1"/>
  <c r="C55" i="1"/>
  <c r="C52" i="1"/>
  <c r="C54" i="1"/>
  <c r="C51" i="1"/>
  <c r="C53" i="1"/>
  <c r="C50" i="1"/>
  <c r="G39" i="3"/>
  <c r="F23" i="3"/>
  <c r="E40" i="3"/>
  <c r="E25" i="3"/>
  <c r="C40" i="3"/>
  <c r="E37" i="3"/>
  <c r="E38" i="3"/>
  <c r="H39" i="3"/>
  <c r="H38" i="3"/>
  <c r="G37" i="3"/>
  <c r="E39" i="3"/>
  <c r="C11" i="3"/>
  <c r="G11" i="3"/>
  <c r="F38" i="3"/>
  <c r="G24" i="3"/>
  <c r="D38" i="3"/>
  <c r="F24" i="3"/>
  <c r="D12" i="3"/>
  <c r="G38" i="3"/>
  <c r="H24" i="3"/>
  <c r="G40" i="3"/>
  <c r="G23" i="3"/>
  <c r="H25" i="3"/>
  <c r="H11" i="3"/>
  <c r="H37" i="3"/>
  <c r="G12" i="3"/>
  <c r="H12" i="3"/>
  <c r="H23" i="3"/>
  <c r="C25" i="3"/>
  <c r="D23" i="3"/>
  <c r="D39" i="3"/>
  <c r="C38" i="3"/>
  <c r="F12" i="3"/>
  <c r="D24" i="3"/>
  <c r="F11" i="3"/>
  <c r="D11" i="3"/>
  <c r="F40" i="3"/>
  <c r="D25" i="3"/>
  <c r="D40" i="3"/>
  <c r="E23" i="3"/>
  <c r="C39" i="3"/>
  <c r="G25" i="3"/>
  <c r="E12" i="3"/>
  <c r="F37" i="3"/>
  <c r="C12" i="3"/>
  <c r="E24" i="3"/>
  <c r="C23" i="3"/>
  <c r="C24" i="3"/>
  <c r="E11" i="3"/>
  <c r="F25" i="3"/>
  <c r="F39" i="3"/>
  <c r="H40" i="3"/>
  <c r="C37" i="3"/>
  <c r="D37" i="3"/>
  <c r="C37" i="7" l="1"/>
  <c r="F66" i="4"/>
  <c r="E65" i="4"/>
  <c r="D63" i="4"/>
  <c r="C26" i="7"/>
  <c r="D68" i="4"/>
  <c r="K67" i="4"/>
  <c r="C31" i="5" s="1"/>
  <c r="E66" i="4"/>
  <c r="F63" i="4"/>
  <c r="B29" i="5" s="1"/>
  <c r="C25" i="7"/>
  <c r="F67" i="4"/>
  <c r="B31" i="5" s="1"/>
  <c r="F65" i="4"/>
  <c r="B30" i="5" s="1"/>
  <c r="D66" i="4"/>
  <c r="D64" i="4"/>
  <c r="AA31" i="5"/>
  <c r="P38" i="5"/>
  <c r="R29" i="5" s="1"/>
  <c r="I29" i="5"/>
  <c r="K66" i="4"/>
  <c r="E63" i="4"/>
  <c r="AA32" i="5"/>
  <c r="P39" i="5"/>
  <c r="S29" i="5" s="1"/>
  <c r="J29" i="5"/>
  <c r="F64" i="4"/>
  <c r="F69" i="4" s="1"/>
  <c r="D65" i="4"/>
  <c r="P37" i="5"/>
  <c r="Q29" i="5" s="1"/>
  <c r="AA30" i="5"/>
  <c r="H29" i="5"/>
  <c r="K63" i="4"/>
  <c r="C29" i="5" s="1"/>
  <c r="E68" i="4"/>
  <c r="E64" i="4"/>
  <c r="K65" i="4"/>
  <c r="C30" i="5" s="1"/>
  <c r="F63" i="1"/>
  <c r="B36" i="7" s="1"/>
  <c r="G49" i="1"/>
  <c r="H49" i="1"/>
  <c r="I49" i="1"/>
  <c r="J49" i="1"/>
  <c r="K49" i="1"/>
  <c r="H51" i="1"/>
  <c r="F51" i="1"/>
  <c r="E62" i="1" s="1"/>
  <c r="G51" i="1"/>
  <c r="K51" i="1"/>
  <c r="J51" i="1"/>
  <c r="I51" i="1"/>
  <c r="F53" i="1"/>
  <c r="B25" i="7" s="1"/>
  <c r="G53" i="1"/>
  <c r="K53" i="1"/>
  <c r="J53" i="1"/>
  <c r="I53" i="1"/>
  <c r="H53" i="1"/>
  <c r="K54" i="1"/>
  <c r="J54" i="1"/>
  <c r="I54" i="1"/>
  <c r="H54" i="1"/>
  <c r="G54" i="1"/>
  <c r="F54" i="1"/>
  <c r="B26" i="7" s="1"/>
  <c r="K55" i="1"/>
  <c r="J55" i="1"/>
  <c r="I55" i="1"/>
  <c r="H55" i="1"/>
  <c r="G55" i="1"/>
  <c r="F55" i="1"/>
  <c r="G37" i="2"/>
  <c r="P37" i="2" s="1"/>
  <c r="G38" i="2"/>
  <c r="P38" i="2" s="1"/>
  <c r="G39" i="2"/>
  <c r="AA32" i="2" s="1"/>
  <c r="K50" i="1"/>
  <c r="F50" i="1"/>
  <c r="G50" i="1"/>
  <c r="J50" i="1"/>
  <c r="I50" i="1"/>
  <c r="H50" i="1"/>
  <c r="K52" i="1"/>
  <c r="J52" i="1"/>
  <c r="G52" i="1"/>
  <c r="I52" i="1"/>
  <c r="H52" i="1"/>
  <c r="F52" i="1"/>
  <c r="A31" i="5" l="1"/>
  <c r="C32" i="7"/>
  <c r="K69" i="4"/>
  <c r="C82" i="4" s="1"/>
  <c r="C52" i="7" s="1"/>
  <c r="C36" i="7"/>
  <c r="F68" i="4"/>
  <c r="D67" i="4"/>
  <c r="C46" i="7"/>
  <c r="C31" i="7"/>
  <c r="K68" i="4"/>
  <c r="A29" i="5"/>
  <c r="A30" i="5"/>
  <c r="C27" i="7"/>
  <c r="B27" i="7"/>
  <c r="J25" i="7"/>
  <c r="D62" i="1"/>
  <c r="E64" i="1"/>
  <c r="D65" i="1"/>
  <c r="D63" i="1"/>
  <c r="E63" i="1"/>
  <c r="E67" i="1"/>
  <c r="E65" i="1"/>
  <c r="D67" i="1"/>
  <c r="K65" i="1"/>
  <c r="F66" i="1"/>
  <c r="B31" i="2" s="1"/>
  <c r="F64" i="1"/>
  <c r="B30" i="2" s="1"/>
  <c r="K64" i="1"/>
  <c r="C30" i="2" s="1"/>
  <c r="K62" i="1"/>
  <c r="C29" i="2" s="1"/>
  <c r="F65" i="1"/>
  <c r="K63" i="1"/>
  <c r="K66" i="1"/>
  <c r="C31" i="2" s="1"/>
  <c r="F62" i="1"/>
  <c r="F68" i="1"/>
  <c r="AA30" i="2"/>
  <c r="AA31" i="2"/>
  <c r="J29" i="2"/>
  <c r="P39" i="2"/>
  <c r="S29" i="2" s="1"/>
  <c r="R29" i="2"/>
  <c r="I29" i="2"/>
  <c r="Q29" i="2"/>
  <c r="H29" i="2"/>
  <c r="D69" i="4" l="1"/>
  <c r="C84" i="4"/>
  <c r="C41" i="7"/>
  <c r="E67" i="4"/>
  <c r="C47" i="7"/>
  <c r="C81" i="4"/>
  <c r="C53" i="7" s="1"/>
  <c r="E69" i="4"/>
  <c r="C42" i="7"/>
  <c r="C83" i="4"/>
  <c r="C51" i="7" s="1"/>
  <c r="H38" i="5"/>
  <c r="H39" i="5"/>
  <c r="I39" i="5"/>
  <c r="J37" i="5"/>
  <c r="J38" i="5"/>
  <c r="I37" i="5"/>
  <c r="K25" i="7"/>
  <c r="K27" i="7"/>
  <c r="K26" i="7"/>
  <c r="L25" i="7"/>
  <c r="K67" i="1"/>
  <c r="B32" i="7"/>
  <c r="F67" i="1"/>
  <c r="B37" i="7"/>
  <c r="K68" i="1"/>
  <c r="E66" i="1" s="1"/>
  <c r="B31" i="7"/>
  <c r="B47" i="7"/>
  <c r="E68" i="1"/>
  <c r="B42" i="7"/>
  <c r="D66" i="1"/>
  <c r="B46" i="7"/>
  <c r="D68" i="1"/>
  <c r="B41" i="7"/>
  <c r="C82" i="1"/>
  <c r="B51" i="7" s="1"/>
  <c r="C81" i="1"/>
  <c r="B52" i="7" s="1"/>
  <c r="C80" i="1"/>
  <c r="B53" i="7" s="1"/>
  <c r="B29" i="2"/>
  <c r="A29" i="2" s="1"/>
  <c r="C83" i="1"/>
  <c r="A30" i="2"/>
  <c r="A31" i="2"/>
  <c r="AE30" i="5" l="1"/>
  <c r="AD32" i="5"/>
  <c r="S38" i="5"/>
  <c r="AD31" i="5"/>
  <c r="S37" i="5"/>
  <c r="AE32" i="5"/>
  <c r="AB32" i="5"/>
  <c r="AD30" i="5"/>
  <c r="AE31" i="5"/>
  <c r="R37" i="5"/>
  <c r="AB30" i="5"/>
  <c r="AB31" i="5"/>
  <c r="Q38" i="5"/>
  <c r="R39" i="5"/>
  <c r="Q39" i="5"/>
  <c r="M25" i="7"/>
  <c r="P4" i="7" s="1"/>
  <c r="J36" i="7"/>
  <c r="L36" i="7" s="1"/>
  <c r="J31" i="7"/>
  <c r="J51" i="7"/>
  <c r="K52" i="7" s="1"/>
  <c r="J41" i="7"/>
  <c r="J46" i="7"/>
  <c r="J38" i="2"/>
  <c r="I39" i="2"/>
  <c r="H39" i="2"/>
  <c r="J37" i="2"/>
  <c r="S73" i="2"/>
  <c r="AC66" i="2" s="1"/>
  <c r="Z66" i="2" s="1"/>
  <c r="I37" i="2"/>
  <c r="H38" i="2"/>
  <c r="AF32" i="5" l="1"/>
  <c r="AC31" i="5"/>
  <c r="Z31" i="5" s="1"/>
  <c r="AF30" i="5"/>
  <c r="AF31" i="5"/>
  <c r="AC30" i="5"/>
  <c r="Z30" i="5" s="1"/>
  <c r="AB33" i="5"/>
  <c r="AC32" i="5"/>
  <c r="Z32" i="5" s="1"/>
  <c r="K53" i="7"/>
  <c r="K51" i="7"/>
  <c r="L31" i="7"/>
  <c r="K32" i="7"/>
  <c r="K31" i="7"/>
  <c r="K36" i="7"/>
  <c r="K37" i="7"/>
  <c r="L51" i="7"/>
  <c r="L41" i="7"/>
  <c r="K42" i="7"/>
  <c r="L46" i="7"/>
  <c r="K47" i="7"/>
  <c r="K46" i="7"/>
  <c r="K41" i="7"/>
  <c r="AE32" i="2"/>
  <c r="AD30" i="2"/>
  <c r="S38" i="2"/>
  <c r="S37" i="2"/>
  <c r="R39" i="2"/>
  <c r="Q39" i="2"/>
  <c r="AB32" i="2"/>
  <c r="AD32" i="2"/>
  <c r="R72" i="2"/>
  <c r="R74" i="2"/>
  <c r="AC67" i="2" s="1"/>
  <c r="Z67" i="2" s="1"/>
  <c r="S72" i="2"/>
  <c r="AA49" i="2"/>
  <c r="AB31" i="2"/>
  <c r="AE31" i="2"/>
  <c r="R37" i="2"/>
  <c r="AE30" i="2"/>
  <c r="AD31" i="2"/>
  <c r="Q38" i="2"/>
  <c r="AB30" i="2"/>
  <c r="M46" i="7" l="1"/>
  <c r="M41" i="7"/>
  <c r="P6" i="7" s="1"/>
  <c r="AC33" i="5" a="1"/>
  <c r="AC33" i="5" s="1"/>
  <c r="AA33" i="5" s="1"/>
  <c r="B76" i="4" s="1"/>
  <c r="C76" i="4" s="1"/>
  <c r="Y32" i="5"/>
  <c r="Y30" i="5"/>
  <c r="Y31" i="5"/>
  <c r="M36" i="7"/>
  <c r="M31" i="7"/>
  <c r="M51" i="7"/>
  <c r="P7" i="7" s="1"/>
  <c r="AC31" i="2"/>
  <c r="Z31" i="2" s="1"/>
  <c r="AF32" i="2"/>
  <c r="AF30" i="2"/>
  <c r="AC32" i="2"/>
  <c r="Z32" i="2" s="1"/>
  <c r="AB33" i="2"/>
  <c r="AC65" i="2"/>
  <c r="Z65" i="2" s="1"/>
  <c r="AE48" i="2"/>
  <c r="AA48" i="2"/>
  <c r="AF31" i="2"/>
  <c r="AC30" i="2"/>
  <c r="D71" i="3"/>
  <c r="D75" i="3"/>
  <c r="H71" i="3"/>
  <c r="H72" i="3"/>
  <c r="C74" i="3"/>
  <c r="D73" i="3"/>
  <c r="H75" i="3"/>
  <c r="E75" i="3"/>
  <c r="D72" i="3"/>
  <c r="C75" i="3"/>
  <c r="G75" i="3"/>
  <c r="E71" i="3"/>
  <c r="F71" i="3"/>
  <c r="H70" i="3"/>
  <c r="C72" i="3"/>
  <c r="F74" i="3"/>
  <c r="F70" i="3"/>
  <c r="D74" i="3"/>
  <c r="C71" i="3"/>
  <c r="H73" i="3"/>
  <c r="F75" i="3"/>
  <c r="G70" i="3"/>
  <c r="F72" i="3"/>
  <c r="F73" i="3"/>
  <c r="H74" i="3"/>
  <c r="G71" i="3"/>
  <c r="C70" i="3"/>
  <c r="E72" i="3"/>
  <c r="G74" i="3"/>
  <c r="C73" i="3"/>
  <c r="E74" i="3"/>
  <c r="G72" i="3"/>
  <c r="E73" i="3"/>
  <c r="G73" i="3"/>
  <c r="E70" i="3"/>
  <c r="D70" i="3"/>
  <c r="C74" i="4" l="1"/>
  <c r="I74" i="4" s="1"/>
  <c r="C73" i="4"/>
  <c r="J73" i="4" s="1"/>
  <c r="C75" i="4"/>
  <c r="J75" i="4" s="1"/>
  <c r="P5" i="7"/>
  <c r="P8" i="7" s="1"/>
  <c r="AC33" i="2" a="1"/>
  <c r="AC33" i="2" s="1"/>
  <c r="AA33" i="2" s="1"/>
  <c r="B75" i="1" s="1"/>
  <c r="C75" i="1" s="1"/>
  <c r="Y67" i="2"/>
  <c r="AD49" i="2"/>
  <c r="AD48" i="2"/>
  <c r="AF48" i="2" s="1"/>
  <c r="AE49" i="2"/>
  <c r="AB48" i="2"/>
  <c r="AB49" i="2"/>
  <c r="AC49" i="2"/>
  <c r="Z30" i="2"/>
  <c r="G74" i="4" l="1"/>
  <c r="F74" i="4"/>
  <c r="J74" i="4"/>
  <c r="H74" i="4"/>
  <c r="H73" i="4"/>
  <c r="H75" i="4"/>
  <c r="G75" i="4"/>
  <c r="F75" i="4"/>
  <c r="I75" i="4"/>
  <c r="I73" i="4"/>
  <c r="F73" i="4"/>
  <c r="G73" i="4"/>
  <c r="Y65" i="2"/>
  <c r="Y66" i="2"/>
  <c r="AF49" i="2"/>
  <c r="Z49" i="2" s="1"/>
  <c r="AC48" i="2"/>
  <c r="Z48" i="2" s="1"/>
  <c r="Y30" i="2"/>
  <c r="Y31" i="2"/>
  <c r="Y32" i="2"/>
  <c r="C85" i="4" l="1"/>
  <c r="C87" i="4"/>
  <c r="C86" i="4"/>
  <c r="C74" i="1"/>
  <c r="C73" i="1"/>
  <c r="C72" i="1"/>
  <c r="Y49" i="2"/>
  <c r="Y48" i="2"/>
  <c r="J72" i="1" l="1"/>
  <c r="I72" i="1"/>
  <c r="H72" i="1"/>
  <c r="G72" i="1"/>
  <c r="F72" i="1"/>
  <c r="J73" i="1"/>
  <c r="I73" i="1"/>
  <c r="H73" i="1"/>
  <c r="G73" i="1"/>
  <c r="F73" i="1"/>
  <c r="J74" i="1"/>
  <c r="I74" i="1"/>
  <c r="H74" i="1"/>
  <c r="G74" i="1"/>
  <c r="F74" i="1"/>
  <c r="C86" i="1" l="1"/>
  <c r="C84" i="1"/>
  <c r="C8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<sst xmlns="http://schemas.openxmlformats.org/spreadsheetml/2006/main" count="1015" uniqueCount="144">
  <si>
    <t>Tag 1</t>
  </si>
  <si>
    <t>Vorrunde</t>
  </si>
  <si>
    <t>Gruppe A</t>
  </si>
  <si>
    <t>SKV Mörfelden Phönix</t>
  </si>
  <si>
    <t>SKV Mörfelden Titans</t>
  </si>
  <si>
    <t>BTC Baukau Boogaloos</t>
  </si>
  <si>
    <t>Dresdner Einradtiger</t>
  </si>
  <si>
    <t>Black Stars</t>
  </si>
  <si>
    <t>TV Lilienthal Moorteufel</t>
  </si>
  <si>
    <t>Einradfüchse</t>
  </si>
  <si>
    <t>Ergebnis</t>
  </si>
  <si>
    <t>Zeit</t>
  </si>
  <si>
    <t>Spiel</t>
  </si>
  <si>
    <t>Schiri</t>
  </si>
  <si>
    <t>Team 1</t>
  </si>
  <si>
    <t>Team 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</si>
  <si>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</si>
  <si>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</si>
  <si>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</si>
  <si>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</si>
  <si>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</si>
  <si>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</si>
  <si>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</si>
  <si>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</si>
  <si>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</si>
  <si>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</si>
  <si>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</si>
  <si>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</si>
  <si>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</si>
  <si>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</si>
  <si>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</si>
  <si>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</si>
  <si>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</si>
  <si>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</si>
  <si>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</si>
  <si>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</si>
  <si>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</si>
  <si>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PHX</t>
  </si>
  <si>
    <t>TNS</t>
  </si>
  <si>
    <t>BGS</t>
  </si>
  <si>
    <t>EIT</t>
  </si>
  <si>
    <t>BLS</t>
  </si>
  <si>
    <t>MRT</t>
  </si>
  <si>
    <t>FUE</t>
  </si>
  <si>
    <t>:</t>
  </si>
  <si>
    <t>Spiele</t>
  </si>
  <si>
    <t>Punkte</t>
  </si>
  <si>
    <t>Tore</t>
  </si>
  <si>
    <t>Gegentore</t>
  </si>
  <si>
    <t>Team A</t>
  </si>
  <si>
    <t>Team B</t>
  </si>
  <si>
    <t>Differenz</t>
  </si>
  <si>
    <t>Noise</t>
  </si>
  <si>
    <t>Team</t>
  </si>
  <si>
    <t>Platz 5-7</t>
  </si>
  <si>
    <t>Platz 3</t>
  </si>
  <si>
    <t>Hauptrunde</t>
  </si>
  <si>
    <t>Platz 1</t>
  </si>
  <si>
    <t>Direkter Vergleich zwischen zwei Teams</t>
  </si>
  <si>
    <t>Rechner für die direkten Vergleiche</t>
  </si>
  <si>
    <t>2er Vergleich</t>
  </si>
  <si>
    <t xml:space="preserve">Gegentore </t>
  </si>
  <si>
    <t>Platzierung</t>
  </si>
  <si>
    <t>Runde</t>
  </si>
  <si>
    <t>Bereich</t>
  </si>
  <si>
    <t>Direkter Vergleich zwischen drei Teams</t>
  </si>
  <si>
    <t>Team 3</t>
  </si>
  <si>
    <t>3er Vergleich</t>
  </si>
  <si>
    <t>Direkter Vergleich zwischen vier Teams</t>
  </si>
  <si>
    <t>Team 4</t>
  </si>
  <si>
    <t>4er Vergleich</t>
  </si>
  <si>
    <t>Direkter Vergleich zwischen fünf Teams</t>
  </si>
  <si>
    <t>Team 5</t>
  </si>
  <si>
    <t>Team 6</t>
  </si>
  <si>
    <t>5er Vergleich</t>
  </si>
  <si>
    <t>Direkter Vergleich zwischen sechs Teams</t>
  </si>
  <si>
    <t>6er Vergleich</t>
  </si>
  <si>
    <t>Penalty</t>
  </si>
  <si>
    <t>-</t>
  </si>
  <si>
    <t>HF1</t>
  </si>
  <si>
    <t>HF2</t>
  </si>
  <si>
    <t>P</t>
  </si>
  <si>
    <t>T</t>
  </si>
  <si>
    <t>GT</t>
  </si>
  <si>
    <t>D</t>
  </si>
  <si>
    <t>Verlängerung</t>
  </si>
  <si>
    <t>S</t>
  </si>
  <si>
    <t>#</t>
  </si>
  <si>
    <t>Ergebnis Vorrunde</t>
  </si>
  <si>
    <t>Finalrunde</t>
  </si>
  <si>
    <t>Finalrunde (Spielzeit Gruppe um Platz 5: 2 x 12 Minunten; Spielzeit weitere Spiele: 2 x 15 Minuten; Spielzeit Verlängerung: 1 x 5 Minuten)</t>
  </si>
  <si>
    <t>Vorrunde (Spielzeit: 2 x 10 Minuten)</t>
  </si>
  <si>
    <t>Ergebniss Gruppe um Platz 5</t>
  </si>
  <si>
    <t>Abschlussplatzierungen</t>
  </si>
  <si>
    <t>Tag 2</t>
  </si>
  <si>
    <t>Ergebnisse der Gruppe A</t>
  </si>
  <si>
    <t>Tatsächlich</t>
  </si>
  <si>
    <t>Tipp</t>
  </si>
  <si>
    <t>Auswertbar?</t>
  </si>
  <si>
    <t>Korrekt</t>
  </si>
  <si>
    <t>Tendenz</t>
  </si>
  <si>
    <t>Halbfinalspiele</t>
  </si>
  <si>
    <t>Finalspiele</t>
  </si>
  <si>
    <t>Platzierungen</t>
  </si>
  <si>
    <t>/ 11</t>
  </si>
  <si>
    <t>Bonus</t>
  </si>
  <si>
    <t>Halfinale 2</t>
  </si>
  <si>
    <t>Halfinale 1</t>
  </si>
  <si>
    <t>Spiel um Platz 3</t>
  </si>
  <si>
    <t>Spiel um Platz 1</t>
  </si>
  <si>
    <t>Endplatzierungen</t>
  </si>
  <si>
    <t>Ergebnisse der Gruppenphase</t>
  </si>
  <si>
    <t>/ 90</t>
  </si>
  <si>
    <t>Gruppe um Platz 5</t>
  </si>
  <si>
    <t>/ 6</t>
  </si>
  <si>
    <t>/ 119</t>
  </si>
  <si>
    <t>Anleitung</t>
  </si>
  <si>
    <t>Die Tipps können im Blatt "Tippspiel" abgegeben werden.</t>
  </si>
  <si>
    <t>Alle gelb hinterlegten Zellen können bearbeitet oder gefüllt werden.</t>
  </si>
  <si>
    <t>Liegt ein direkter Vergleich vor, so muss dieser selbst gelöst werden. Dafür steht das Blatt "Vergleich"</t>
  </si>
  <si>
    <t>zur Verfügung. Durch ein Dropdown können die Positionen angepasst werden.</t>
  </si>
  <si>
    <t>Ist ein direkter Vergleich zu lösen, so steht dies unter der jeweiligen Tabelle. Hier müssen jene Teams</t>
  </si>
  <si>
    <t>verglichen werden, die die gleiche Punktzahl haben. Gleiche Punkte sind farblich hervorgehoben.</t>
  </si>
  <si>
    <t>Wie genau ein direkter Vergleich gelöst wird, ist im entsprechenden Blatt erklärt.</t>
  </si>
  <si>
    <t>Blatt</t>
  </si>
  <si>
    <t>Erklärung</t>
  </si>
  <si>
    <t>Tippspiel</t>
  </si>
  <si>
    <t>Hier können die Tipps abgegeben werden.</t>
  </si>
  <si>
    <t>Spielplan</t>
  </si>
  <si>
    <t>Hier werden die richtigen Ergebnisse eingetragen, um die Tipps auswerten zu können.</t>
  </si>
  <si>
    <t>Vergleich</t>
  </si>
  <si>
    <t>Hilfsblatt, um einen direkten Vergleich lösen zu können.</t>
  </si>
  <si>
    <t>Auswertung</t>
  </si>
  <si>
    <t>Punkte auf Basis der Tipps und der tatsächlichen Ergebnisse.</t>
  </si>
  <si>
    <t>"Direkter Vergleich zwischen vier Teams".</t>
  </si>
  <si>
    <t>den Spielplan übernommen werden.</t>
  </si>
  <si>
    <t>nutzen oder müsst ggfs ein Penaltyschießen eintragen.</t>
  </si>
  <si>
    <t xml:space="preserve">4. Die Teams werden entsprechend ihrer Platzierung angezeigt. Sie müssen so in das Tippspiel oder </t>
  </si>
  <si>
    <t xml:space="preserve">5. Lässt sich der direkte Vergleich nicht sofort lösen, so könnt ihr die anderen Vergleiche </t>
  </si>
  <si>
    <t xml:space="preserve">1. Gib ganz oben an, ob du den Vergleich für das Tippspiel oder den Spielplan nutzen möchtest. Dafür </t>
  </si>
  <si>
    <t>ist ein Dropdown hinterlegt.</t>
  </si>
  <si>
    <t xml:space="preserve">2. Starte mit dem richtigen direkten Vergleich. Müssen vier Teams verglichen werden, so wähle </t>
  </si>
  <si>
    <t>3. Trage die Teams durch die Dropdown-Liste in die gelb markierten Zellen ein.</t>
  </si>
  <si>
    <t>Verwendung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</si>
</sst>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C946B"/>
        <bgColor indexed="64"/>
      </patternFill>
    </fill>
    <fill>
      <patternFill patternType="solid">
        <fgColor rgb="FFBD6B99"/>
        <bgColor indexed="64"/>
      </patternFill>
    </fill>
    <fill>
      <patternFill patternType="solid">
        <fgColor rgb="FF6B7EBD"/>
        <bgColor indexed="64"/>
      </patternFill>
    </fill>
    <fill>
      <patternFill patternType="solid">
        <fgColor rgb="FFFFEDC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0" applyFont="1"/>
    <xf numFmtId="0" fontId="0" fillId="2" borderId="0" xfId="0" applyFill="1"/>
    <xf numFmtId="0" fontId="4" fillId="0" borderId="0" xfId="0" applyFont="1"/>
    <xf numFmtId="0" fontId="0" fillId="0" borderId="0" xfId="0" applyAlignment="1">
      <alignment vertical="center"/>
    </xf>
    <xf numFmtId="0" fontId="5" fillId="0" borderId="0" xfId="0" applyFont="1"/>
    <xf numFmtId="0" fontId="1" fillId="6" borderId="2" xfId="0" applyFont="1" applyFill="1" applyBorder="1"/>
    <xf numFmtId="0" fontId="1" fillId="6" borderId="3" xfId="0" applyFont="1" applyFill="1" applyBorder="1"/>
    <xf numFmtId="0" fontId="0" fillId="0" borderId="1" xfId="0" applyBorder="1" applyAlignment="1">
      <alignment horizontal="center"/>
    </xf>
    <xf numFmtId="0" fontId="4" fillId="0" borderId="3" xfId="0" applyFont="1" applyBorder="1"/>
    <xf numFmtId="0" fontId="0" fillId="0" borderId="4" xfId="0" applyBorder="1" applyAlignment="1">
      <alignment horizontal="center"/>
    </xf>
    <xf numFmtId="0" fontId="4" fillId="0" borderId="6" xfId="0" applyFont="1" applyBorder="1"/>
    <xf numFmtId="0" fontId="1" fillId="6" borderId="1" xfId="0" applyFont="1" applyFill="1" applyBorder="1" applyAlignment="1">
      <alignment horizontal="left" indent="1"/>
    </xf>
    <xf numFmtId="0" fontId="0" fillId="6" borderId="5" xfId="0" applyFill="1" applyBorder="1"/>
    <xf numFmtId="0" fontId="0" fillId="6" borderId="6" xfId="0" applyFill="1" applyBorder="1"/>
    <xf numFmtId="0" fontId="1" fillId="6" borderId="5" xfId="0" applyFont="1" applyFill="1" applyBorder="1"/>
    <xf numFmtId="0" fontId="1" fillId="6" borderId="6" xfId="0" applyFont="1" applyFill="1" applyBorder="1"/>
    <xf numFmtId="0" fontId="1" fillId="6" borderId="4" xfId="0" applyFont="1" applyFill="1" applyBorder="1" applyAlignment="1">
      <alignment horizontal="left" indent="1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20" fontId="0" fillId="0" borderId="1" xfId="0" applyNumberForma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0" fontId="4" fillId="6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4" fillId="6" borderId="5" xfId="0" applyFont="1" applyFill="1" applyBorder="1" applyAlignment="1">
      <alignment horizontal="left" indent="1"/>
    </xf>
    <xf numFmtId="0" fontId="4" fillId="6" borderId="6" xfId="0" applyFont="1" applyFill="1" applyBorder="1" applyAlignment="1">
      <alignment horizontal="left" indent="1"/>
    </xf>
    <xf numFmtId="0" fontId="4" fillId="6" borderId="0" xfId="0" applyFont="1" applyFill="1"/>
    <xf numFmtId="2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4" fillId="0" borderId="10" xfId="0" quotePrefix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quotePrefix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13" xfId="0" quotePrefix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quotePrefix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16" xfId="0" applyFont="1" applyFill="1" applyBorder="1"/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0" fillId="0" borderId="5" xfId="0" applyBorder="1"/>
    <xf numFmtId="0" fontId="4" fillId="4" borderId="21" xfId="0" applyFont="1" applyFill="1" applyBorder="1" applyAlignment="1">
      <alignment horizontal="center"/>
    </xf>
    <xf numFmtId="0" fontId="0" fillId="0" borderId="0" xfId="0" applyAlignment="1">
      <alignment vertical="center" textRotation="90"/>
    </xf>
    <xf numFmtId="0" fontId="0" fillId="0" borderId="1" xfId="0" applyBorder="1"/>
    <xf numFmtId="0" fontId="0" fillId="0" borderId="3" xfId="0" applyBorder="1"/>
    <xf numFmtId="0" fontId="0" fillId="0" borderId="22" xfId="0" applyBorder="1" applyAlignment="1">
      <alignment horizontal="center"/>
    </xf>
    <xf numFmtId="0" fontId="4" fillId="6" borderId="4" xfId="0" applyFont="1" applyFill="1" applyBorder="1"/>
    <xf numFmtId="0" fontId="0" fillId="0" borderId="6" xfId="0" quotePrefix="1" applyBorder="1" applyAlignment="1">
      <alignment horizontal="right"/>
    </xf>
    <xf numFmtId="0" fontId="4" fillId="6" borderId="17" xfId="0" applyFont="1" applyFill="1" applyBorder="1"/>
    <xf numFmtId="0" fontId="0" fillId="0" borderId="16" xfId="0" quotePrefix="1" applyBorder="1" applyAlignment="1">
      <alignment horizontal="right"/>
    </xf>
    <xf numFmtId="0" fontId="4" fillId="6" borderId="1" xfId="0" applyFont="1" applyFill="1" applyBorder="1"/>
    <xf numFmtId="0" fontId="0" fillId="0" borderId="3" xfId="0" quotePrefix="1" applyBorder="1" applyAlignment="1">
      <alignment horizontal="right"/>
    </xf>
    <xf numFmtId="0" fontId="0" fillId="0" borderId="0" xfId="0" applyAlignment="1">
      <alignment horizontal="center" vertical="center" textRotation="90"/>
    </xf>
    <xf numFmtId="0" fontId="4" fillId="4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2" xfId="0" applyFill="1" applyBorder="1"/>
    <xf numFmtId="0" fontId="4" fillId="4" borderId="3" xfId="0" applyFont="1" applyFill="1" applyBorder="1" applyAlignment="1">
      <alignment horizontal="center"/>
    </xf>
    <xf numFmtId="0" fontId="0" fillId="0" borderId="16" xfId="0" applyBorder="1"/>
    <xf numFmtId="0" fontId="0" fillId="0" borderId="23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4" fillId="4" borderId="2" xfId="0" applyFont="1" applyFill="1" applyBorder="1"/>
    <xf numFmtId="0" fontId="0" fillId="0" borderId="17" xfId="0" applyBorder="1"/>
    <xf numFmtId="0" fontId="1" fillId="6" borderId="1" xfId="0" applyFont="1" applyFill="1" applyBorder="1" applyAlignment="1">
      <alignment horizontal="left" vertical="center" indent="1"/>
    </xf>
    <xf numFmtId="0" fontId="0" fillId="6" borderId="2" xfId="0" applyFill="1" applyBorder="1"/>
    <xf numFmtId="0" fontId="0" fillId="6" borderId="3" xfId="0" applyFill="1" applyBorder="1"/>
    <xf numFmtId="0" fontId="1" fillId="6" borderId="4" xfId="0" applyFont="1" applyFill="1" applyBorder="1" applyAlignment="1">
      <alignment horizontal="left" vertical="center" indent="1"/>
    </xf>
    <xf numFmtId="0" fontId="0" fillId="7" borderId="1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13" xfId="0" quotePrefix="1" applyFill="1" applyBorder="1" applyAlignment="1">
      <alignment vertical="center"/>
    </xf>
    <xf numFmtId="0" fontId="0" fillId="7" borderId="15" xfId="0" quotePrefix="1" applyFill="1" applyBorder="1" applyAlignment="1">
      <alignment vertical="center"/>
    </xf>
    <xf numFmtId="0" fontId="0" fillId="7" borderId="18" xfId="0" quotePrefix="1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7" borderId="20" xfId="0" quotePrefix="1" applyFill="1" applyBorder="1" applyAlignment="1">
      <alignment vertical="center"/>
    </xf>
    <xf numFmtId="0" fontId="0" fillId="7" borderId="10" xfId="0" quotePrefix="1" applyFill="1" applyBorder="1" applyAlignment="1">
      <alignment vertical="center"/>
    </xf>
    <xf numFmtId="0" fontId="0" fillId="7" borderId="7" xfId="0" quotePrefix="1" applyFill="1" applyBorder="1" applyAlignment="1">
      <alignment vertical="center"/>
    </xf>
    <xf numFmtId="0" fontId="0" fillId="7" borderId="12" xfId="0" quotePrefix="1" applyFill="1" applyBorder="1" applyAlignment="1">
      <alignment vertical="center"/>
    </xf>
    <xf numFmtId="0" fontId="0" fillId="7" borderId="9" xfId="0" quotePrefix="1" applyFill="1" applyBorder="1" applyAlignment="1">
      <alignment vertical="center"/>
    </xf>
    <xf numFmtId="0" fontId="0" fillId="7" borderId="1" xfId="0" applyFill="1" applyBorder="1" applyAlignment="1">
      <alignment horizontal="right" vertical="center"/>
    </xf>
    <xf numFmtId="0" fontId="0" fillId="7" borderId="3" xfId="0" applyFill="1" applyBorder="1" applyAlignment="1">
      <alignment horizontal="right" vertical="center"/>
    </xf>
    <xf numFmtId="0" fontId="0" fillId="7" borderId="13" xfId="0" applyFill="1" applyBorder="1"/>
    <xf numFmtId="0" fontId="0" fillId="7" borderId="15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0" xfId="0" applyFill="1" applyBorder="1"/>
    <xf numFmtId="0" fontId="0" fillId="7" borderId="12" xfId="0" applyFill="1" applyBorder="1"/>
    <xf numFmtId="0" fontId="1" fillId="6" borderId="1" xfId="0" applyFont="1" applyFill="1" applyBorder="1"/>
    <xf numFmtId="0" fontId="1" fillId="6" borderId="4" xfId="0" applyFont="1" applyFill="1" applyBorder="1"/>
    <xf numFmtId="0" fontId="0" fillId="7" borderId="3" xfId="0" applyFill="1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7" borderId="3" xfId="0" applyFill="1" applyBorder="1" applyProtection="1">
      <protection locked="0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3" xfId="0" quotePrefix="1" applyBorder="1" applyAlignment="1">
      <alignment vertical="center"/>
    </xf>
    <xf numFmtId="0" fontId="0" fillId="0" borderId="18" xfId="0" quotePrefix="1" applyBorder="1" applyAlignment="1">
      <alignment vertical="center"/>
    </xf>
    <xf numFmtId="0" fontId="0" fillId="0" borderId="15" xfId="0" quotePrefix="1" applyBorder="1" applyAlignment="1">
      <alignment vertical="center"/>
    </xf>
    <xf numFmtId="0" fontId="0" fillId="0" borderId="20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7" xfId="0" quotePrefix="1" applyBorder="1" applyAlignment="1">
      <alignment vertical="center"/>
    </xf>
    <xf numFmtId="0" fontId="0" fillId="0" borderId="12" xfId="0" quotePrefix="1" applyBorder="1" applyAlignment="1">
      <alignment vertical="center"/>
    </xf>
    <xf numFmtId="0" fontId="0" fillId="0" borderId="9" xfId="0" quotePrefix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8" xfId="0" applyBorder="1"/>
    <xf numFmtId="0" fontId="0" fillId="0" borderId="20" xfId="0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left"/>
    </xf>
    <xf numFmtId="0" fontId="4" fillId="6" borderId="5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vertical="center"/>
    </xf>
    <xf numFmtId="0" fontId="0" fillId="7" borderId="2" xfId="0" applyFill="1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4" fillId="6" borderId="0" xfId="0" applyFont="1" applyFill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6" borderId="0" xfId="0" applyFont="1" applyFill="1" applyAlignment="1">
      <alignment horizontal="left"/>
    </xf>
    <xf numFmtId="0" fontId="0" fillId="7" borderId="2" xfId="0" applyFill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0" fontId="1" fillId="6" borderId="4" xfId="0" applyFont="1" applyFill="1" applyBorder="1" applyAlignment="1">
      <alignment horizontal="left" indent="1"/>
    </xf>
    <xf numFmtId="0" fontId="1" fillId="6" borderId="5" xfId="0" applyFont="1" applyFill="1" applyBorder="1" applyAlignment="1">
      <alignment horizontal="left" indent="1"/>
    </xf>
    <xf numFmtId="0" fontId="1" fillId="6" borderId="6" xfId="0" applyFont="1" applyFill="1" applyBorder="1" applyAlignment="1">
      <alignment horizontal="left" indent="1"/>
    </xf>
    <xf numFmtId="0" fontId="0" fillId="0" borderId="2" xfId="0" applyBorder="1" applyAlignment="1">
      <alignment horizontal="left" vertic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textRotation="90"/>
    </xf>
    <xf numFmtId="0" fontId="2" fillId="3" borderId="0" xfId="0" applyFont="1" applyFill="1" applyAlignment="1">
      <alignment horizontal="center"/>
    </xf>
  </cellXfs>
  <cellStyles count="1">
    <cellStyle name="Standard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E0BAD0"/>
        </patternFill>
      </fill>
    </dxf>
    <dxf>
      <font>
        <color auto="1"/>
      </font>
      <fill>
        <patternFill>
          <bgColor rgb="FFE0BAD0"/>
        </patternFill>
      </fill>
    </dxf>
    <dxf>
      <font>
        <color auto="1"/>
      </font>
      <fill>
        <patternFill>
          <bgColor rgb="FFE0BAD0"/>
        </patternFill>
      </fill>
    </dxf>
    <dxf>
      <font>
        <color auto="1"/>
      </font>
      <fill>
        <patternFill>
          <bgColor rgb="FFE0BAD0"/>
        </patternFill>
      </fill>
    </dxf>
    <dxf>
      <font>
        <color auto="1"/>
      </font>
      <fill>
        <patternFill>
          <bgColor rgb="FFE0BAD0"/>
        </patternFill>
      </fill>
    </dxf>
  </dxfs>
  <tableStyles count="0" defaultTableStyle="TableStyleMedium2" defaultPivotStyle="PivotStyleLight16"/>
  <colors>
    <mruColors>
      <color rgb="FFFFEDC1"/>
      <color rgb="FF6B7EBD"/>
      <color rgb="FFE0BAD0"/>
      <color rgb="FFBD6B99"/>
      <color rgb="FF6CBE9A"/>
      <color rgb="FFBC94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6cd498db6c281fe1/Einradhockey/Einradhockeyliga/&#214;ffentlichkeitsausschuss/2025-Saison/Tippspiel/Tippspiel_B-Meisterschaft_Borken.xlsx" TargetMode="External"/><Relationship Id="rId1" Type="http://schemas.openxmlformats.org/officeDocument/2006/relationships/externalLinkPath" Target="Tippspiel_B-Meisterschaft_Borke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6cd498db6c281fe1/Einradhockey/Einradhockeyliga/Saisons/2024-Saison-30/Spielpl&#228;ne/B_Meisterschaft_Tippspiel.xlsx" TargetMode="External"/><Relationship Id="rId1" Type="http://schemas.openxmlformats.org/officeDocument/2006/relationships/externalLinkPath" Target="B_Meisterschaft_Tippspi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rklärung"/>
      <sheetName val="Tippspiel"/>
      <sheetName val="Spielplan"/>
      <sheetName val="Vergleich"/>
      <sheetName val="Auswertung"/>
      <sheetName val="Rechner"/>
      <sheetName val="Tippspiel_Rechner"/>
    </sheetNames>
    <sheetDataSet>
      <sheetData sheetId="0" refreshError="1"/>
      <sheetData sheetId="1" refreshError="1"/>
      <sheetData sheetId="2">
        <row r="7">
          <cell r="C7" t="str">
            <v>BTC Heisse Reifen</v>
          </cell>
        </row>
        <row r="8">
          <cell r="C8" t="str">
            <v>Hockey Hawks</v>
          </cell>
        </row>
        <row r="9">
          <cell r="C9" t="str">
            <v>Dampfnudel</v>
          </cell>
        </row>
        <row r="10">
          <cell r="C10" t="str">
            <v>FunPowerTeam</v>
          </cell>
        </row>
        <row r="11">
          <cell r="C11" t="str">
            <v>Einradhockey Elmshorn</v>
          </cell>
        </row>
        <row r="12">
          <cell r="C12" t="str">
            <v>MUH-Bande Jena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ppspiel"/>
      <sheetName val="Spielplan"/>
      <sheetName val="Vergleich"/>
      <sheetName val="Auswertung"/>
      <sheetName val="Rechner"/>
      <sheetName val="Tippspiel_Rechner"/>
    </sheetNames>
    <sheetDataSet>
      <sheetData sheetId="0"/>
      <sheetData sheetId="1">
        <row r="7">
          <cell r="C7" t="str">
            <v>BTC Heisse Reifen</v>
          </cell>
          <cell r="AA7" t="str">
            <v>OnewheeleRS</v>
          </cell>
        </row>
        <row r="8">
          <cell r="C8" t="str">
            <v>Hockey Hawks</v>
          </cell>
          <cell r="AA8" t="str">
            <v>Querrad</v>
          </cell>
        </row>
        <row r="9">
          <cell r="C9" t="str">
            <v>Dampfnudel</v>
          </cell>
          <cell r="AA9" t="str">
            <v>MJC Trier - Die Legionäre</v>
          </cell>
        </row>
        <row r="10">
          <cell r="C10" t="str">
            <v>FunPowerTeam</v>
          </cell>
          <cell r="AA10" t="str">
            <v>SKV Mörfelden UniThunder</v>
          </cell>
        </row>
        <row r="11">
          <cell r="C11" t="str">
            <v>Einradhockey Elmshorn</v>
          </cell>
          <cell r="AA11" t="str">
            <v>MJC Trier - Die Treverer</v>
          </cell>
        </row>
        <row r="12">
          <cell r="C12" t="str">
            <v>MUH-Bande Jena</v>
          </cell>
          <cell r="AA12" t="str">
            <v>Geisterfahrer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481D-A5E3-4D17-9D3A-252BD815A553}">
  <dimension ref="B2:I16"/>
  <sheetViews>
    <sheetView showGridLines="0" tabSelected="1" workbookViewId="0"/>
  </sheetViews>
  <sheetFormatPr baseColWidth="10" defaultRowHeight="15" x14ac:dyDescent="0.25"/>
  <cols>
    <col min="2" max="2" width="12.85546875" customWidth="1"/>
  </cols>
  <sheetData>
    <row r="2" spans="2:9" ht="20.25" customHeight="1" x14ac:dyDescent="0.25">
      <c r="B2" s="80" t="s">
        <v>116</v>
      </c>
      <c r="C2" s="81"/>
      <c r="D2" s="81"/>
      <c r="E2" s="81"/>
      <c r="F2" s="81"/>
      <c r="G2" s="81"/>
      <c r="H2" s="81"/>
      <c r="I2" s="82"/>
    </row>
    <row r="3" spans="2:9" x14ac:dyDescent="0.25">
      <c r="B3" s="75" t="s">
        <v>117</v>
      </c>
      <c r="C3" s="54"/>
      <c r="D3" s="54"/>
      <c r="E3" s="54"/>
      <c r="F3" s="54"/>
      <c r="G3" s="54"/>
      <c r="H3" s="54"/>
      <c r="I3" s="76"/>
    </row>
    <row r="4" spans="2:9" x14ac:dyDescent="0.25">
      <c r="B4" s="79" t="s">
        <v>118</v>
      </c>
      <c r="I4" s="71"/>
    </row>
    <row r="5" spans="2:9" x14ac:dyDescent="0.25">
      <c r="B5" s="79" t="s">
        <v>119</v>
      </c>
      <c r="I5" s="71"/>
    </row>
    <row r="6" spans="2:9" x14ac:dyDescent="0.25">
      <c r="B6" s="79" t="s">
        <v>120</v>
      </c>
      <c r="I6" s="71"/>
    </row>
    <row r="7" spans="2:9" x14ac:dyDescent="0.25">
      <c r="B7" s="79" t="s">
        <v>121</v>
      </c>
      <c r="I7" s="71"/>
    </row>
    <row r="8" spans="2:9" x14ac:dyDescent="0.25">
      <c r="B8" s="79" t="s">
        <v>122</v>
      </c>
      <c r="I8" s="71"/>
    </row>
    <row r="9" spans="2:9" x14ac:dyDescent="0.25">
      <c r="B9" s="77" t="s">
        <v>123</v>
      </c>
      <c r="C9" s="73"/>
      <c r="D9" s="73"/>
      <c r="E9" s="73"/>
      <c r="F9" s="73"/>
      <c r="G9" s="73"/>
      <c r="H9" s="73"/>
      <c r="I9" s="74"/>
    </row>
    <row r="12" spans="2:9" ht="20.25" customHeight="1" x14ac:dyDescent="0.25">
      <c r="B12" s="83" t="s">
        <v>124</v>
      </c>
      <c r="C12" s="83" t="s">
        <v>125</v>
      </c>
      <c r="D12" s="18"/>
      <c r="E12" s="18"/>
      <c r="F12" s="16"/>
      <c r="G12" s="16"/>
      <c r="H12" s="16"/>
      <c r="I12" s="17"/>
    </row>
    <row r="13" spans="2:9" x14ac:dyDescent="0.25">
      <c r="B13" s="57" t="s">
        <v>126</v>
      </c>
      <c r="C13" s="57" t="s">
        <v>127</v>
      </c>
      <c r="D13" s="39"/>
      <c r="E13" s="39"/>
      <c r="F13" s="39"/>
      <c r="G13" s="39"/>
      <c r="H13" s="39"/>
      <c r="I13" s="58"/>
    </row>
    <row r="14" spans="2:9" x14ac:dyDescent="0.25">
      <c r="B14" s="57" t="s">
        <v>128</v>
      </c>
      <c r="C14" s="57" t="s">
        <v>129</v>
      </c>
      <c r="D14" s="39"/>
      <c r="E14" s="39"/>
      <c r="F14" s="39"/>
      <c r="G14" s="39"/>
      <c r="H14" s="39"/>
      <c r="I14" s="58"/>
    </row>
    <row r="15" spans="2:9" x14ac:dyDescent="0.25">
      <c r="B15" s="57" t="s">
        <v>130</v>
      </c>
      <c r="C15" s="57" t="s">
        <v>131</v>
      </c>
      <c r="D15" s="39"/>
      <c r="E15" s="39"/>
      <c r="F15" s="39"/>
      <c r="G15" s="39"/>
      <c r="H15" s="39"/>
      <c r="I15" s="58"/>
    </row>
    <row r="16" spans="2:9" x14ac:dyDescent="0.25">
      <c r="B16" s="77" t="s">
        <v>132</v>
      </c>
      <c r="C16" s="77" t="s">
        <v>133</v>
      </c>
      <c r="D16" s="73"/>
      <c r="E16" s="73"/>
      <c r="F16" s="73"/>
      <c r="G16" s="73"/>
      <c r="H16" s="73"/>
      <c r="I16" s="74"/>
    </row>
  </sheetData>
  <sheetProtection algorithmName="SHA-512" hashValue="sOA4C49B3O9bbWSD9A98ACkBe7kbi/3bCKzReAYZP/ds3tDIe6g+0ccZD8CPqGOH1+Iga8Rti8ndHUxSTLGw1A==" saltValue="g5/7uZCZAcdXyyNm3egE9w==" spinCount="100000" sheet="1" objects="1" scenarios="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3738-871B-4EC5-8375-3148B9DFB092}">
  <dimension ref="B2:AJ87"/>
  <sheetViews>
    <sheetView showGridLines="0" zoomScaleNormal="100" workbookViewId="0"/>
  </sheetViews>
  <sheetFormatPr baseColWidth="10" defaultRowHeight="15" x14ac:dyDescent="0.25"/>
  <cols>
    <col min="1" max="1" width="3.7109375" customWidth="1"/>
    <col min="2" max="2" width="7.140625" customWidth="1"/>
    <col min="3" max="3" width="9.85546875" customWidth="1"/>
    <col min="4" max="5" width="8.5703125" customWidth="1"/>
    <col min="6" max="9" width="6.42578125" customWidth="1"/>
    <col min="10" max="10" width="1.7109375" customWidth="1"/>
    <col min="11" max="11" width="4.7109375" customWidth="1"/>
    <col min="12" max="12" width="21" customWidth="1"/>
    <col min="13" max="13" width="6.42578125" customWidth="1"/>
    <col min="14" max="14" width="1.7109375" customWidth="1"/>
    <col min="15" max="16" width="6.42578125" customWidth="1"/>
    <col min="17" max="17" width="1.7109375" customWidth="1"/>
    <col min="18" max="19" width="6.42578125" customWidth="1"/>
    <col min="20" max="20" width="1.7109375" customWidth="1"/>
    <col min="21" max="21" width="6.42578125" customWidth="1"/>
    <col min="22" max="22" width="3.7109375" customWidth="1"/>
    <col min="23" max="24" width="11.42578125" hidden="1" customWidth="1"/>
  </cols>
  <sheetData>
    <row r="2" spans="2:21" ht="20.25" customHeight="1" x14ac:dyDescent="0.25">
      <c r="B2" s="135" t="s">
        <v>0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7"/>
    </row>
    <row r="3" spans="2:21" ht="3.75" customHeight="1" x14ac:dyDescent="0.25"/>
    <row r="4" spans="2:21" ht="18.75" customHeight="1" x14ac:dyDescent="0.25">
      <c r="B4" s="138" t="s">
        <v>1</v>
      </c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40"/>
    </row>
    <row r="6" spans="2:21" x14ac:dyDescent="0.25">
      <c r="B6" s="15" t="s">
        <v>2</v>
      </c>
      <c r="C6" s="9"/>
      <c r="D6" s="9"/>
      <c r="E6" s="9"/>
      <c r="F6" s="10"/>
      <c r="G6" s="1"/>
      <c r="H6" s="1"/>
    </row>
    <row r="7" spans="2:21" x14ac:dyDescent="0.25">
      <c r="B7" s="13" t="s">
        <v>37</v>
      </c>
      <c r="C7" s="141" t="s">
        <v>3</v>
      </c>
      <c r="D7" s="141"/>
      <c r="E7" s="141"/>
      <c r="F7" s="14" t="str">
        <f t="shared" ref="F7:F13" si="0">B7</f>
        <v>PHX</v>
      </c>
    </row>
    <row r="8" spans="2:21" x14ac:dyDescent="0.25">
      <c r="B8" s="11" t="s">
        <v>38</v>
      </c>
      <c r="C8" s="128" t="s">
        <v>4</v>
      </c>
      <c r="D8" s="128"/>
      <c r="E8" s="128"/>
      <c r="F8" s="12" t="str">
        <f t="shared" si="0"/>
        <v>TNS</v>
      </c>
    </row>
    <row r="9" spans="2:21" x14ac:dyDescent="0.25">
      <c r="B9" s="11" t="s">
        <v>39</v>
      </c>
      <c r="C9" s="128" t="s">
        <v>5</v>
      </c>
      <c r="D9" s="128"/>
      <c r="E9" s="128"/>
      <c r="F9" s="12" t="str">
        <f t="shared" si="0"/>
        <v>BGS</v>
      </c>
    </row>
    <row r="10" spans="2:21" x14ac:dyDescent="0.25">
      <c r="B10" s="11" t="s">
        <v>40</v>
      </c>
      <c r="C10" s="128" t="s">
        <v>6</v>
      </c>
      <c r="D10" s="128"/>
      <c r="E10" s="128"/>
      <c r="F10" s="12" t="str">
        <f t="shared" si="0"/>
        <v>EIT</v>
      </c>
    </row>
    <row r="11" spans="2:21" x14ac:dyDescent="0.25">
      <c r="B11" s="11" t="s">
        <v>41</v>
      </c>
      <c r="C11" s="128" t="s">
        <v>7</v>
      </c>
      <c r="D11" s="128"/>
      <c r="E11" s="128"/>
      <c r="F11" s="12" t="str">
        <f t="shared" si="0"/>
        <v>BLS</v>
      </c>
    </row>
    <row r="12" spans="2:21" x14ac:dyDescent="0.25">
      <c r="B12" s="11" t="s">
        <v>42</v>
      </c>
      <c r="C12" s="128" t="s">
        <v>8</v>
      </c>
      <c r="D12" s="128"/>
      <c r="E12" s="128"/>
      <c r="F12" s="12" t="str">
        <f t="shared" si="0"/>
        <v>MRT</v>
      </c>
    </row>
    <row r="13" spans="2:21" x14ac:dyDescent="0.25">
      <c r="B13" s="11" t="s">
        <v>43</v>
      </c>
      <c r="C13" s="128" t="s">
        <v>9</v>
      </c>
      <c r="D13" s="128"/>
      <c r="E13" s="128"/>
      <c r="F13" s="12" t="str">
        <f t="shared" si="0"/>
        <v>FUE</v>
      </c>
    </row>
    <row r="15" spans="2:21" x14ac:dyDescent="0.25">
      <c r="B15" s="20" t="s">
        <v>91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29" t="s">
        <v>10</v>
      </c>
      <c r="N15" s="129"/>
      <c r="O15" s="129"/>
      <c r="P15" s="129" t="s">
        <v>77</v>
      </c>
      <c r="Q15" s="129"/>
      <c r="R15" s="131"/>
    </row>
    <row r="16" spans="2:21" s="7" customFormat="1" x14ac:dyDescent="0.25">
      <c r="B16" s="21" t="s">
        <v>11</v>
      </c>
      <c r="C16" s="22" t="s">
        <v>12</v>
      </c>
      <c r="D16" s="133" t="s">
        <v>13</v>
      </c>
      <c r="E16" s="133"/>
      <c r="F16" s="134" t="s">
        <v>14</v>
      </c>
      <c r="G16" s="134"/>
      <c r="H16" s="134"/>
      <c r="I16" s="134"/>
      <c r="J16" s="23"/>
      <c r="K16" s="23" t="s">
        <v>15</v>
      </c>
      <c r="L16" s="23"/>
      <c r="M16" s="130"/>
      <c r="N16" s="130"/>
      <c r="O16" s="130"/>
      <c r="P16" s="130" t="s">
        <v>77</v>
      </c>
      <c r="Q16" s="130"/>
      <c r="R16" s="132"/>
    </row>
    <row r="17" spans="2:18" s="7" customFormat="1" x14ac:dyDescent="0.25">
      <c r="B17" s="26">
        <v>0.46875</v>
      </c>
      <c r="C17" s="24" t="s">
        <v>16</v>
      </c>
      <c r="D17" s="24" t="s">
        <v>37</v>
      </c>
      <c r="E17" s="24" t="s">
        <v>40</v>
      </c>
      <c r="F17" s="142" t="s">
        <v>4</v>
      </c>
      <c r="G17" s="142"/>
      <c r="H17" s="142"/>
      <c r="I17" s="142"/>
      <c r="J17" s="24" t="s">
        <v>44</v>
      </c>
      <c r="K17" s="142" t="s">
        <v>9</v>
      </c>
      <c r="L17" s="142"/>
      <c r="M17" s="84"/>
      <c r="N17" s="25" t="s">
        <v>44</v>
      </c>
      <c r="O17" s="85"/>
      <c r="P17" s="86"/>
      <c r="Q17" s="27" t="s">
        <v>44</v>
      </c>
      <c r="R17" s="87"/>
    </row>
    <row r="18" spans="2:18" s="7" customFormat="1" x14ac:dyDescent="0.25">
      <c r="B18" s="26">
        <f>B17+TIME(0,25,0)</f>
        <v>0.4861111111111111</v>
      </c>
      <c r="C18" s="24" t="s">
        <v>17</v>
      </c>
      <c r="D18" s="24" t="s">
        <v>43</v>
      </c>
      <c r="E18" s="24" t="s">
        <v>38</v>
      </c>
      <c r="F18" s="142" t="s">
        <v>3</v>
      </c>
      <c r="G18" s="142"/>
      <c r="H18" s="142"/>
      <c r="I18" s="142"/>
      <c r="J18" s="24" t="s">
        <v>44</v>
      </c>
      <c r="K18" s="142" t="s">
        <v>6</v>
      </c>
      <c r="L18" s="142"/>
      <c r="M18" s="84"/>
      <c r="N18" s="25" t="s">
        <v>44</v>
      </c>
      <c r="O18" s="85"/>
      <c r="P18" s="86"/>
      <c r="Q18" s="27" t="s">
        <v>44</v>
      </c>
      <c r="R18" s="87"/>
    </row>
    <row r="19" spans="2:18" s="7" customFormat="1" x14ac:dyDescent="0.25">
      <c r="B19" s="26">
        <f t="shared" ref="B19:B45" si="1">B18+TIME(0,25,0)</f>
        <v>0.50347222222222221</v>
      </c>
      <c r="C19" s="24" t="s">
        <v>18</v>
      </c>
      <c r="D19" s="24" t="s">
        <v>38</v>
      </c>
      <c r="E19" s="24" t="s">
        <v>37</v>
      </c>
      <c r="F19" s="142" t="s">
        <v>5</v>
      </c>
      <c r="G19" s="142"/>
      <c r="H19" s="142"/>
      <c r="I19" s="142"/>
      <c r="J19" s="24" t="s">
        <v>44</v>
      </c>
      <c r="K19" s="142" t="s">
        <v>8</v>
      </c>
      <c r="L19" s="142"/>
      <c r="M19" s="84"/>
      <c r="N19" s="25" t="s">
        <v>44</v>
      </c>
      <c r="O19" s="85"/>
      <c r="P19" s="86"/>
      <c r="Q19" s="27" t="s">
        <v>44</v>
      </c>
      <c r="R19" s="87"/>
    </row>
    <row r="20" spans="2:18" s="7" customFormat="1" x14ac:dyDescent="0.25">
      <c r="B20" s="26">
        <f t="shared" si="1"/>
        <v>0.52083333333333337</v>
      </c>
      <c r="C20" s="24" t="s">
        <v>19</v>
      </c>
      <c r="D20" s="24" t="s">
        <v>42</v>
      </c>
      <c r="E20" s="24" t="s">
        <v>39</v>
      </c>
      <c r="F20" s="142" t="s">
        <v>7</v>
      </c>
      <c r="G20" s="142"/>
      <c r="H20" s="142"/>
      <c r="I20" s="142"/>
      <c r="J20" s="24" t="s">
        <v>44</v>
      </c>
      <c r="K20" s="142" t="s">
        <v>9</v>
      </c>
      <c r="L20" s="142"/>
      <c r="M20" s="84"/>
      <c r="N20" s="25" t="s">
        <v>44</v>
      </c>
      <c r="O20" s="85"/>
      <c r="P20" s="86"/>
      <c r="Q20" s="27" t="s">
        <v>44</v>
      </c>
      <c r="R20" s="87"/>
    </row>
    <row r="21" spans="2:18" s="7" customFormat="1" x14ac:dyDescent="0.25">
      <c r="B21" s="26">
        <f t="shared" si="1"/>
        <v>0.53819444444444453</v>
      </c>
      <c r="C21" s="24" t="s">
        <v>20</v>
      </c>
      <c r="D21" s="24" t="s">
        <v>43</v>
      </c>
      <c r="E21" s="24" t="s">
        <v>41</v>
      </c>
      <c r="F21" s="142" t="s">
        <v>4</v>
      </c>
      <c r="G21" s="142"/>
      <c r="H21" s="142"/>
      <c r="I21" s="142"/>
      <c r="J21" s="24" t="s">
        <v>44</v>
      </c>
      <c r="K21" s="142" t="s">
        <v>6</v>
      </c>
      <c r="L21" s="142"/>
      <c r="M21" s="84"/>
      <c r="N21" s="25" t="s">
        <v>44</v>
      </c>
      <c r="O21" s="85"/>
      <c r="P21" s="86"/>
      <c r="Q21" s="27" t="s">
        <v>44</v>
      </c>
      <c r="R21" s="87"/>
    </row>
    <row r="22" spans="2:18" s="7" customFormat="1" x14ac:dyDescent="0.25">
      <c r="B22" s="26">
        <f t="shared" si="1"/>
        <v>0.55555555555555569</v>
      </c>
      <c r="C22" s="24" t="s">
        <v>21</v>
      </c>
      <c r="D22" s="24" t="s">
        <v>38</v>
      </c>
      <c r="E22" s="24" t="s">
        <v>40</v>
      </c>
      <c r="F22" s="142" t="s">
        <v>3</v>
      </c>
      <c r="G22" s="142"/>
      <c r="H22" s="142"/>
      <c r="I22" s="142"/>
      <c r="J22" s="24" t="s">
        <v>44</v>
      </c>
      <c r="K22" s="142" t="s">
        <v>8</v>
      </c>
      <c r="L22" s="142"/>
      <c r="M22" s="84"/>
      <c r="N22" s="25" t="s">
        <v>44</v>
      </c>
      <c r="O22" s="85"/>
      <c r="P22" s="86"/>
      <c r="Q22" s="27" t="s">
        <v>44</v>
      </c>
      <c r="R22" s="87"/>
    </row>
    <row r="23" spans="2:18" s="7" customFormat="1" x14ac:dyDescent="0.25">
      <c r="B23" s="26">
        <f t="shared" si="1"/>
        <v>0.57291666666666685</v>
      </c>
      <c r="C23" s="24" t="s">
        <v>22</v>
      </c>
      <c r="D23" s="24" t="s">
        <v>42</v>
      </c>
      <c r="E23" s="24" t="s">
        <v>37</v>
      </c>
      <c r="F23" s="142" t="s">
        <v>5</v>
      </c>
      <c r="G23" s="142"/>
      <c r="H23" s="142"/>
      <c r="I23" s="142"/>
      <c r="J23" s="24" t="s">
        <v>44</v>
      </c>
      <c r="K23" s="142" t="s">
        <v>7</v>
      </c>
      <c r="L23" s="142"/>
      <c r="M23" s="84"/>
      <c r="N23" s="25" t="s">
        <v>44</v>
      </c>
      <c r="O23" s="85"/>
      <c r="P23" s="86"/>
      <c r="Q23" s="27" t="s">
        <v>44</v>
      </c>
      <c r="R23" s="87"/>
    </row>
    <row r="24" spans="2:18" s="7" customFormat="1" x14ac:dyDescent="0.25">
      <c r="B24" s="26">
        <f t="shared" si="1"/>
        <v>0.59027777777777801</v>
      </c>
      <c r="C24" s="24" t="s">
        <v>23</v>
      </c>
      <c r="D24" s="24" t="s">
        <v>41</v>
      </c>
      <c r="E24" s="24" t="s">
        <v>39</v>
      </c>
      <c r="F24" s="142" t="s">
        <v>6</v>
      </c>
      <c r="G24" s="142"/>
      <c r="H24" s="142"/>
      <c r="I24" s="142"/>
      <c r="J24" s="24" t="s">
        <v>44</v>
      </c>
      <c r="K24" s="142" t="s">
        <v>9</v>
      </c>
      <c r="L24" s="142"/>
      <c r="M24" s="84"/>
      <c r="N24" s="25" t="s">
        <v>44</v>
      </c>
      <c r="O24" s="85"/>
      <c r="P24" s="86"/>
      <c r="Q24" s="27" t="s">
        <v>44</v>
      </c>
      <c r="R24" s="87"/>
    </row>
    <row r="25" spans="2:18" s="7" customFormat="1" x14ac:dyDescent="0.25">
      <c r="B25" s="26">
        <f t="shared" si="1"/>
        <v>0.60763888888888917</v>
      </c>
      <c r="C25" s="24" t="s">
        <v>24</v>
      </c>
      <c r="D25" s="24" t="s">
        <v>40</v>
      </c>
      <c r="E25" s="24" t="s">
        <v>43</v>
      </c>
      <c r="F25" s="142" t="s">
        <v>4</v>
      </c>
      <c r="G25" s="142"/>
      <c r="H25" s="142"/>
      <c r="I25" s="142"/>
      <c r="J25" s="24" t="s">
        <v>44</v>
      </c>
      <c r="K25" s="142" t="s">
        <v>8</v>
      </c>
      <c r="L25" s="142"/>
      <c r="M25" s="84"/>
      <c r="N25" s="25" t="s">
        <v>44</v>
      </c>
      <c r="O25" s="85"/>
      <c r="P25" s="86"/>
      <c r="Q25" s="27" t="s">
        <v>44</v>
      </c>
      <c r="R25" s="87"/>
    </row>
    <row r="26" spans="2:18" s="7" customFormat="1" x14ac:dyDescent="0.25">
      <c r="B26" s="26">
        <f t="shared" si="1"/>
        <v>0.62500000000000033</v>
      </c>
      <c r="C26" s="24" t="s">
        <v>25</v>
      </c>
      <c r="D26" s="24" t="s">
        <v>42</v>
      </c>
      <c r="E26" s="24" t="s">
        <v>38</v>
      </c>
      <c r="F26" s="142" t="s">
        <v>3</v>
      </c>
      <c r="G26" s="142"/>
      <c r="H26" s="142"/>
      <c r="I26" s="142"/>
      <c r="J26" s="24" t="s">
        <v>44</v>
      </c>
      <c r="K26" s="142" t="s">
        <v>7</v>
      </c>
      <c r="L26" s="142"/>
      <c r="M26" s="84"/>
      <c r="N26" s="25" t="s">
        <v>44</v>
      </c>
      <c r="O26" s="85"/>
      <c r="P26" s="86"/>
      <c r="Q26" s="27" t="s">
        <v>44</v>
      </c>
      <c r="R26" s="87"/>
    </row>
    <row r="27" spans="2:18" s="7" customFormat="1" x14ac:dyDescent="0.25">
      <c r="B27" s="26">
        <f t="shared" si="1"/>
        <v>0.64236111111111149</v>
      </c>
      <c r="C27" s="24" t="s">
        <v>26</v>
      </c>
      <c r="D27" s="24" t="s">
        <v>37</v>
      </c>
      <c r="E27" s="24" t="s">
        <v>41</v>
      </c>
      <c r="F27" s="142" t="s">
        <v>5</v>
      </c>
      <c r="G27" s="142"/>
      <c r="H27" s="142"/>
      <c r="I27" s="142"/>
      <c r="J27" s="24" t="s">
        <v>44</v>
      </c>
      <c r="K27" s="142" t="s">
        <v>9</v>
      </c>
      <c r="L27" s="142"/>
      <c r="M27" s="84"/>
      <c r="N27" s="25" t="s">
        <v>44</v>
      </c>
      <c r="O27" s="85"/>
      <c r="P27" s="86"/>
      <c r="Q27" s="27" t="s">
        <v>44</v>
      </c>
      <c r="R27" s="87"/>
    </row>
    <row r="28" spans="2:18" s="7" customFormat="1" x14ac:dyDescent="0.25">
      <c r="B28" s="26">
        <f t="shared" si="1"/>
        <v>0.65972222222222265</v>
      </c>
      <c r="C28" s="24" t="s">
        <v>27</v>
      </c>
      <c r="D28" s="24" t="s">
        <v>39</v>
      </c>
      <c r="E28" s="24" t="s">
        <v>43</v>
      </c>
      <c r="F28" s="142" t="s">
        <v>6</v>
      </c>
      <c r="G28" s="142"/>
      <c r="H28" s="142"/>
      <c r="I28" s="142"/>
      <c r="J28" s="24" t="s">
        <v>44</v>
      </c>
      <c r="K28" s="142" t="s">
        <v>8</v>
      </c>
      <c r="L28" s="142"/>
      <c r="M28" s="84"/>
      <c r="N28" s="25" t="s">
        <v>44</v>
      </c>
      <c r="O28" s="85"/>
      <c r="P28" s="86"/>
      <c r="Q28" s="27" t="s">
        <v>44</v>
      </c>
      <c r="R28" s="87"/>
    </row>
    <row r="29" spans="2:18" s="7" customFormat="1" x14ac:dyDescent="0.25">
      <c r="B29" s="26">
        <f t="shared" si="1"/>
        <v>0.67708333333333381</v>
      </c>
      <c r="C29" s="24" t="s">
        <v>28</v>
      </c>
      <c r="D29" s="24" t="s">
        <v>40</v>
      </c>
      <c r="E29" s="24" t="s">
        <v>42</v>
      </c>
      <c r="F29" s="142" t="s">
        <v>4</v>
      </c>
      <c r="G29" s="142"/>
      <c r="H29" s="142"/>
      <c r="I29" s="142"/>
      <c r="J29" s="24" t="s">
        <v>44</v>
      </c>
      <c r="K29" s="142" t="s">
        <v>7</v>
      </c>
      <c r="L29" s="142"/>
      <c r="M29" s="84"/>
      <c r="N29" s="25" t="s">
        <v>44</v>
      </c>
      <c r="O29" s="85"/>
      <c r="P29" s="86"/>
      <c r="Q29" s="27" t="s">
        <v>44</v>
      </c>
      <c r="R29" s="87"/>
    </row>
    <row r="30" spans="2:18" s="7" customFormat="1" x14ac:dyDescent="0.25">
      <c r="B30" s="26">
        <f t="shared" si="1"/>
        <v>0.69444444444444497</v>
      </c>
      <c r="C30" s="24" t="s">
        <v>29</v>
      </c>
      <c r="D30" s="24" t="s">
        <v>41</v>
      </c>
      <c r="E30" s="24" t="s">
        <v>38</v>
      </c>
      <c r="F30" s="142" t="s">
        <v>3</v>
      </c>
      <c r="G30" s="142"/>
      <c r="H30" s="142"/>
      <c r="I30" s="142"/>
      <c r="J30" s="24" t="s">
        <v>44</v>
      </c>
      <c r="K30" s="142" t="s">
        <v>5</v>
      </c>
      <c r="L30" s="142"/>
      <c r="M30" s="84"/>
      <c r="N30" s="25" t="s">
        <v>44</v>
      </c>
      <c r="O30" s="85"/>
      <c r="P30" s="86"/>
      <c r="Q30" s="27" t="s">
        <v>44</v>
      </c>
      <c r="R30" s="87"/>
    </row>
    <row r="31" spans="2:18" s="7" customFormat="1" x14ac:dyDescent="0.25">
      <c r="B31" s="26">
        <f t="shared" si="1"/>
        <v>0.71180555555555614</v>
      </c>
      <c r="C31" s="24" t="s">
        <v>30</v>
      </c>
      <c r="D31" s="24" t="s">
        <v>37</v>
      </c>
      <c r="E31" s="24" t="s">
        <v>39</v>
      </c>
      <c r="F31" s="142" t="s">
        <v>8</v>
      </c>
      <c r="G31" s="142"/>
      <c r="H31" s="142"/>
      <c r="I31" s="142"/>
      <c r="J31" s="24" t="s">
        <v>44</v>
      </c>
      <c r="K31" s="142" t="s">
        <v>9</v>
      </c>
      <c r="L31" s="142"/>
      <c r="M31" s="84"/>
      <c r="N31" s="25" t="s">
        <v>44</v>
      </c>
      <c r="O31" s="85"/>
      <c r="P31" s="86"/>
      <c r="Q31" s="27" t="s">
        <v>44</v>
      </c>
      <c r="R31" s="87"/>
    </row>
    <row r="32" spans="2:18" s="7" customFormat="1" x14ac:dyDescent="0.25">
      <c r="B32" s="26">
        <f t="shared" si="1"/>
        <v>0.7291666666666673</v>
      </c>
      <c r="C32" s="24" t="s">
        <v>31</v>
      </c>
      <c r="D32" s="24" t="s">
        <v>43</v>
      </c>
      <c r="E32" s="24" t="s">
        <v>42</v>
      </c>
      <c r="F32" s="142" t="s">
        <v>6</v>
      </c>
      <c r="G32" s="142"/>
      <c r="H32" s="142"/>
      <c r="I32" s="142"/>
      <c r="J32" s="24" t="s">
        <v>44</v>
      </c>
      <c r="K32" s="142" t="s">
        <v>7</v>
      </c>
      <c r="L32" s="142"/>
      <c r="M32" s="84"/>
      <c r="N32" s="25" t="s">
        <v>44</v>
      </c>
      <c r="O32" s="85"/>
      <c r="P32" s="86"/>
      <c r="Q32" s="27" t="s">
        <v>44</v>
      </c>
      <c r="R32" s="87"/>
    </row>
    <row r="33" spans="2:21" s="7" customFormat="1" x14ac:dyDescent="0.25">
      <c r="B33" s="26">
        <f t="shared" si="1"/>
        <v>0.74652777777777846</v>
      </c>
      <c r="C33" s="24" t="s">
        <v>32</v>
      </c>
      <c r="D33" s="24" t="s">
        <v>40</v>
      </c>
      <c r="E33" s="24" t="s">
        <v>41</v>
      </c>
      <c r="F33" s="142" t="s">
        <v>4</v>
      </c>
      <c r="G33" s="142"/>
      <c r="H33" s="142"/>
      <c r="I33" s="142"/>
      <c r="J33" s="24" t="s">
        <v>44</v>
      </c>
      <c r="K33" s="142" t="s">
        <v>5</v>
      </c>
      <c r="L33" s="142"/>
      <c r="M33" s="84"/>
      <c r="N33" s="25" t="s">
        <v>44</v>
      </c>
      <c r="O33" s="85"/>
      <c r="P33" s="86"/>
      <c r="Q33" s="27" t="s">
        <v>44</v>
      </c>
      <c r="R33" s="87"/>
    </row>
    <row r="34" spans="2:21" s="7" customFormat="1" x14ac:dyDescent="0.25">
      <c r="B34" s="26">
        <f t="shared" si="1"/>
        <v>0.76388888888888962</v>
      </c>
      <c r="C34" s="24" t="s">
        <v>33</v>
      </c>
      <c r="D34" s="24" t="s">
        <v>39</v>
      </c>
      <c r="E34" s="24" t="s">
        <v>38</v>
      </c>
      <c r="F34" s="142" t="s">
        <v>3</v>
      </c>
      <c r="G34" s="142"/>
      <c r="H34" s="142"/>
      <c r="I34" s="142"/>
      <c r="J34" s="24" t="s">
        <v>44</v>
      </c>
      <c r="K34" s="142" t="s">
        <v>9</v>
      </c>
      <c r="L34" s="142"/>
      <c r="M34" s="84"/>
      <c r="N34" s="25" t="s">
        <v>44</v>
      </c>
      <c r="O34" s="85"/>
      <c r="P34" s="88"/>
      <c r="Q34" s="89" t="s">
        <v>44</v>
      </c>
      <c r="R34" s="90"/>
    </row>
    <row r="35" spans="2:21" s="7" customFormat="1" x14ac:dyDescent="0.2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2:21" s="7" customFormat="1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2:21" ht="20.25" customHeight="1" x14ac:dyDescent="0.25">
      <c r="B37" s="135" t="s">
        <v>94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7"/>
    </row>
    <row r="38" spans="2:21" s="7" customFormat="1" ht="3.75" customHeight="1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2:21" s="7" customFormat="1" ht="18.75" customHeight="1" x14ac:dyDescent="0.25">
      <c r="B39" s="138" t="s">
        <v>1</v>
      </c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40"/>
    </row>
    <row r="40" spans="2:21" s="7" customFormat="1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2:21" s="7" customFormat="1" x14ac:dyDescent="0.25">
      <c r="B41" s="20" t="s">
        <v>91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29" t="s">
        <v>10</v>
      </c>
      <c r="N41" s="129"/>
      <c r="O41" s="129"/>
      <c r="P41" s="129" t="s">
        <v>77</v>
      </c>
      <c r="Q41" s="129"/>
      <c r="R41" s="131"/>
    </row>
    <row r="42" spans="2:21" s="7" customFormat="1" x14ac:dyDescent="0.25">
      <c r="B42" s="21" t="s">
        <v>11</v>
      </c>
      <c r="C42" s="22" t="s">
        <v>12</v>
      </c>
      <c r="D42" s="133" t="s">
        <v>13</v>
      </c>
      <c r="E42" s="133"/>
      <c r="F42" s="134" t="s">
        <v>14</v>
      </c>
      <c r="G42" s="134"/>
      <c r="H42" s="134"/>
      <c r="I42" s="134"/>
      <c r="J42" s="23"/>
      <c r="K42" s="23" t="s">
        <v>15</v>
      </c>
      <c r="L42" s="23"/>
      <c r="M42" s="130"/>
      <c r="N42" s="130"/>
      <c r="O42" s="130"/>
      <c r="P42" s="130" t="s">
        <v>77</v>
      </c>
      <c r="Q42" s="130"/>
      <c r="R42" s="132"/>
    </row>
    <row r="43" spans="2:21" s="7" customFormat="1" x14ac:dyDescent="0.25">
      <c r="B43" s="26">
        <v>0.39583333333333331</v>
      </c>
      <c r="C43" s="24" t="s">
        <v>34</v>
      </c>
      <c r="D43" s="24" t="s">
        <v>37</v>
      </c>
      <c r="E43" s="24" t="s">
        <v>43</v>
      </c>
      <c r="F43" s="142" t="s">
        <v>7</v>
      </c>
      <c r="G43" s="142"/>
      <c r="H43" s="142"/>
      <c r="I43" s="142"/>
      <c r="J43" s="24" t="s">
        <v>44</v>
      </c>
      <c r="K43" s="142" t="s">
        <v>8</v>
      </c>
      <c r="L43" s="142"/>
      <c r="M43" s="84"/>
      <c r="N43" s="25" t="s">
        <v>44</v>
      </c>
      <c r="O43" s="85"/>
      <c r="P43" s="91"/>
      <c r="Q43" s="52" t="s">
        <v>44</v>
      </c>
      <c r="R43" s="93"/>
    </row>
    <row r="44" spans="2:21" s="7" customFormat="1" x14ac:dyDescent="0.25">
      <c r="B44" s="26">
        <f>B43+TIME(0,25,0)</f>
        <v>0.41319444444444442</v>
      </c>
      <c r="C44" s="24" t="s">
        <v>35</v>
      </c>
      <c r="D44" s="24" t="s">
        <v>41</v>
      </c>
      <c r="E44" s="24" t="s">
        <v>42</v>
      </c>
      <c r="F44" s="142" t="s">
        <v>5</v>
      </c>
      <c r="G44" s="142"/>
      <c r="H44" s="142"/>
      <c r="I44" s="142"/>
      <c r="J44" s="24" t="s">
        <v>44</v>
      </c>
      <c r="K44" s="142" t="s">
        <v>6</v>
      </c>
      <c r="L44" s="142"/>
      <c r="M44" s="84"/>
      <c r="N44" s="25" t="s">
        <v>44</v>
      </c>
      <c r="O44" s="85"/>
      <c r="P44" s="86"/>
      <c r="Q44" s="27" t="s">
        <v>44</v>
      </c>
      <c r="R44" s="87"/>
    </row>
    <row r="45" spans="2:21" s="7" customFormat="1" x14ac:dyDescent="0.25">
      <c r="B45" s="26">
        <f t="shared" si="1"/>
        <v>0.43055555555555552</v>
      </c>
      <c r="C45" s="24" t="s">
        <v>36</v>
      </c>
      <c r="D45" s="24" t="s">
        <v>40</v>
      </c>
      <c r="E45" s="24" t="s">
        <v>39</v>
      </c>
      <c r="F45" s="142" t="s">
        <v>3</v>
      </c>
      <c r="G45" s="142"/>
      <c r="H45" s="142"/>
      <c r="I45" s="142"/>
      <c r="J45" s="24" t="s">
        <v>44</v>
      </c>
      <c r="K45" s="142" t="s">
        <v>4</v>
      </c>
      <c r="L45" s="142"/>
      <c r="M45" s="84"/>
      <c r="N45" s="25" t="s">
        <v>44</v>
      </c>
      <c r="O45" s="85"/>
      <c r="P45" s="92"/>
      <c r="Q45" s="51" t="s">
        <v>44</v>
      </c>
      <c r="R45" s="94"/>
    </row>
    <row r="47" spans="2:21" x14ac:dyDescent="0.25">
      <c r="B47" s="20" t="s">
        <v>88</v>
      </c>
      <c r="C47" s="18"/>
      <c r="D47" s="18"/>
      <c r="E47" s="18"/>
      <c r="F47" s="18"/>
      <c r="G47" s="18"/>
      <c r="H47" s="18"/>
      <c r="I47" s="18"/>
      <c r="J47" s="18"/>
      <c r="K47" s="19"/>
    </row>
    <row r="48" spans="2:21" s="7" customFormat="1" x14ac:dyDescent="0.25">
      <c r="B48" s="29" t="s">
        <v>87</v>
      </c>
      <c r="C48" s="30" t="s">
        <v>53</v>
      </c>
      <c r="D48" s="31"/>
      <c r="E48" s="31"/>
      <c r="F48" s="28" t="s">
        <v>86</v>
      </c>
      <c r="G48" s="28" t="s">
        <v>81</v>
      </c>
      <c r="H48" s="28" t="s">
        <v>82</v>
      </c>
      <c r="I48" s="28" t="s">
        <v>83</v>
      </c>
      <c r="J48" s="146" t="s">
        <v>84</v>
      </c>
      <c r="K48" s="147"/>
    </row>
    <row r="49" spans="2:36" s="7" customFormat="1" x14ac:dyDescent="0.25">
      <c r="B49" s="32">
        <v>1</v>
      </c>
      <c r="C49" s="143" t="str">
        <f>VLOOKUP($B49,Tippspiel_Rechner!$Y$5:$AF$11,COLUMN(),FALSE)</f>
        <v>SKV Mörfelden Phönix</v>
      </c>
      <c r="D49" s="143"/>
      <c r="E49" s="143"/>
      <c r="F49" s="33">
        <f>VLOOKUP($C49,Tippspiel_Rechner!$AA$5:$AF$11,COLUMN()-4,FALSE)</f>
        <v>0</v>
      </c>
      <c r="G49" s="33">
        <f>VLOOKUP($C49,Tippspiel_Rechner!$AA$5:$AF$11,COLUMN()-4,FALSE)</f>
        <v>0</v>
      </c>
      <c r="H49" s="33">
        <f>VLOOKUP($C49,Tippspiel_Rechner!$AA$5:$AF$11,COLUMN()-4,FALSE)</f>
        <v>0</v>
      </c>
      <c r="I49" s="33">
        <f>VLOOKUP($C49,Tippspiel_Rechner!$AA$5:$AF$11,COLUMN()-4,FALSE)</f>
        <v>0</v>
      </c>
      <c r="J49" s="144">
        <f>VLOOKUP($C49,Tippspiel_Rechner!$AA$5:$AF$11,COLUMN()-4,FALSE)</f>
        <v>0</v>
      </c>
      <c r="K49" s="145" t="e">
        <f>VLOOKUP($C49,Rechner!$AA$5:$AF$11,COLUMN()-4,FALSE)</f>
        <v>#REF!</v>
      </c>
    </row>
    <row r="50" spans="2:36" s="7" customFormat="1" x14ac:dyDescent="0.25">
      <c r="B50" s="32">
        <v>2</v>
      </c>
      <c r="C50" s="143" t="str">
        <f>VLOOKUP($B50,Tippspiel_Rechner!$Y$5:$AF$11,COLUMN(),FALSE)</f>
        <v>SKV Mörfelden Titans</v>
      </c>
      <c r="D50" s="143"/>
      <c r="E50" s="143"/>
      <c r="F50" s="33">
        <f>VLOOKUP($C50,Tippspiel_Rechner!$AA$5:$AF$11,COLUMN()-4,FALSE)</f>
        <v>0</v>
      </c>
      <c r="G50" s="33">
        <f>VLOOKUP($C50,Tippspiel_Rechner!$AA$5:$AF$11,COLUMN()-4,FALSE)</f>
        <v>0</v>
      </c>
      <c r="H50" s="33">
        <f>VLOOKUP($C50,Tippspiel_Rechner!$AA$5:$AF$11,COLUMN()-4,FALSE)</f>
        <v>0</v>
      </c>
      <c r="I50" s="33">
        <f>VLOOKUP($C50,Tippspiel_Rechner!$AA$5:$AF$11,COLUMN()-4,FALSE)</f>
        <v>0</v>
      </c>
      <c r="J50" s="144">
        <f>VLOOKUP($C50,Tippspiel_Rechner!$AA$5:$AF$11,COLUMN()-4,FALSE)</f>
        <v>0</v>
      </c>
      <c r="K50" s="145" t="e">
        <f>VLOOKUP($C50,Rechner!$AA$5:$AF$11,COLUMN()-4,FALSE)</f>
        <v>#REF!</v>
      </c>
    </row>
    <row r="51" spans="2:36" s="7" customFormat="1" x14ac:dyDescent="0.25">
      <c r="B51" s="32">
        <v>3</v>
      </c>
      <c r="C51" s="143" t="str">
        <f>VLOOKUP($B51,Tippspiel_Rechner!$Y$5:$AF$11,COLUMN(),FALSE)</f>
        <v>BTC Baukau Boogaloos</v>
      </c>
      <c r="D51" s="143"/>
      <c r="E51" s="143"/>
      <c r="F51" s="33">
        <f>VLOOKUP($C51,Tippspiel_Rechner!$AA$5:$AF$11,COLUMN()-4,FALSE)</f>
        <v>0</v>
      </c>
      <c r="G51" s="33">
        <f>VLOOKUP($C51,Tippspiel_Rechner!$AA$5:$AF$11,COLUMN()-4,FALSE)</f>
        <v>0</v>
      </c>
      <c r="H51" s="33">
        <f>VLOOKUP($C51,Tippspiel_Rechner!$AA$5:$AF$11,COLUMN()-4,FALSE)</f>
        <v>0</v>
      </c>
      <c r="I51" s="33">
        <f>VLOOKUP($C51,Tippspiel_Rechner!$AA$5:$AF$11,COLUMN()-4,FALSE)</f>
        <v>0</v>
      </c>
      <c r="J51" s="144">
        <f>VLOOKUP($C51,Tippspiel_Rechner!$AA$5:$AF$11,COLUMN()-4,FALSE)</f>
        <v>0</v>
      </c>
      <c r="K51" s="145" t="e">
        <f>VLOOKUP($C51,Rechner!$AA$5:$AF$11,COLUMN()-4,FALSE)</f>
        <v>#REF!</v>
      </c>
    </row>
    <row r="52" spans="2:36" s="7" customFormat="1" x14ac:dyDescent="0.25">
      <c r="B52" s="32">
        <v>4</v>
      </c>
      <c r="C52" s="143" t="str">
        <f>VLOOKUP($B52,Tippspiel_Rechner!$Y$5:$AF$11,COLUMN(),FALSE)</f>
        <v>Dresdner Einradtiger</v>
      </c>
      <c r="D52" s="143"/>
      <c r="E52" s="143"/>
      <c r="F52" s="33">
        <f>VLOOKUP($C52,Tippspiel_Rechner!$AA$5:$AF$11,COLUMN()-4,FALSE)</f>
        <v>0</v>
      </c>
      <c r="G52" s="33">
        <f>VLOOKUP($C52,Tippspiel_Rechner!$AA$5:$AF$11,COLUMN()-4,FALSE)</f>
        <v>0</v>
      </c>
      <c r="H52" s="33">
        <f>VLOOKUP($C52,Tippspiel_Rechner!$AA$5:$AF$11,COLUMN()-4,FALSE)</f>
        <v>0</v>
      </c>
      <c r="I52" s="33">
        <f>VLOOKUP($C52,Tippspiel_Rechner!$AA$5:$AF$11,COLUMN()-4,FALSE)</f>
        <v>0</v>
      </c>
      <c r="J52" s="144">
        <f>VLOOKUP($C52,Tippspiel_Rechner!$AA$5:$AF$11,COLUMN()-4,FALSE)</f>
        <v>0</v>
      </c>
      <c r="K52" s="145" t="e">
        <f>VLOOKUP($C52,Rechner!$AA$5:$AF$11,COLUMN()-4,FALSE)</f>
        <v>#REF!</v>
      </c>
    </row>
    <row r="53" spans="2:36" s="7" customFormat="1" x14ac:dyDescent="0.25">
      <c r="B53" s="32">
        <v>5</v>
      </c>
      <c r="C53" s="143" t="str">
        <f>VLOOKUP($B53,Tippspiel_Rechner!$Y$5:$AF$11,COLUMN(),FALSE)</f>
        <v>Black Stars</v>
      </c>
      <c r="D53" s="143"/>
      <c r="E53" s="143"/>
      <c r="F53" s="33">
        <f>VLOOKUP($C53,Tippspiel_Rechner!$AA$5:$AF$11,COLUMN()-4,FALSE)</f>
        <v>0</v>
      </c>
      <c r="G53" s="33">
        <f>VLOOKUP($C53,Tippspiel_Rechner!$AA$5:$AF$11,COLUMN()-4,FALSE)</f>
        <v>0</v>
      </c>
      <c r="H53" s="33">
        <f>VLOOKUP($C53,Tippspiel_Rechner!$AA$5:$AF$11,COLUMN()-4,FALSE)</f>
        <v>0</v>
      </c>
      <c r="I53" s="33">
        <f>VLOOKUP($C53,Tippspiel_Rechner!$AA$5:$AF$11,COLUMN()-4,FALSE)</f>
        <v>0</v>
      </c>
      <c r="J53" s="144">
        <f>VLOOKUP($C53,Tippspiel_Rechner!$AA$5:$AF$11,COLUMN()-4,FALSE)</f>
        <v>0</v>
      </c>
      <c r="K53" s="145" t="e">
        <f>VLOOKUP($C53,Rechner!$AA$5:$AF$11,COLUMN()-4,FALSE)</f>
        <v>#REF!</v>
      </c>
    </row>
    <row r="54" spans="2:36" s="7" customFormat="1" x14ac:dyDescent="0.25">
      <c r="B54" s="32">
        <v>6</v>
      </c>
      <c r="C54" s="143" t="str">
        <f>VLOOKUP($B54,Tippspiel_Rechner!$Y$5:$AF$11,COLUMN(),FALSE)</f>
        <v>TV Lilienthal Moorteufel</v>
      </c>
      <c r="D54" s="143"/>
      <c r="E54" s="143"/>
      <c r="F54" s="33">
        <f>VLOOKUP($C54,Tippspiel_Rechner!$AA$5:$AF$11,COLUMN()-4,FALSE)</f>
        <v>0</v>
      </c>
      <c r="G54" s="33">
        <f>VLOOKUP($C54,Tippspiel_Rechner!$AA$5:$AF$11,COLUMN()-4,FALSE)</f>
        <v>0</v>
      </c>
      <c r="H54" s="33">
        <f>VLOOKUP($C54,Tippspiel_Rechner!$AA$5:$AF$11,COLUMN()-4,FALSE)</f>
        <v>0</v>
      </c>
      <c r="I54" s="33">
        <f>VLOOKUP($C54,Tippspiel_Rechner!$AA$5:$AF$11,COLUMN()-4,FALSE)</f>
        <v>0</v>
      </c>
      <c r="J54" s="144">
        <f>VLOOKUP($C54,Tippspiel_Rechner!$AA$5:$AF$11,COLUMN()-4,FALSE)</f>
        <v>0</v>
      </c>
      <c r="K54" s="145" t="e">
        <f>VLOOKUP($C54,Rechner!$AA$5:$AF$11,COLUMN()-4,FALSE)</f>
        <v>#REF!</v>
      </c>
    </row>
    <row r="55" spans="2:36" s="7" customFormat="1" x14ac:dyDescent="0.25">
      <c r="B55" s="32">
        <v>7</v>
      </c>
      <c r="C55" s="143" t="str">
        <f>VLOOKUP($B55,Tippspiel_Rechner!$Y$5:$AF$11,COLUMN(),FALSE)</f>
        <v>Einradfüchse</v>
      </c>
      <c r="D55" s="143"/>
      <c r="E55" s="143"/>
      <c r="F55" s="33">
        <f>VLOOKUP($C55,Tippspiel_Rechner!$AA$5:$AF$11,COLUMN()-4,FALSE)</f>
        <v>0</v>
      </c>
      <c r="G55" s="33">
        <f>VLOOKUP($C55,Tippspiel_Rechner!$AA$5:$AF$11,COLUMN()-4,FALSE)</f>
        <v>0</v>
      </c>
      <c r="H55" s="33">
        <f>VLOOKUP($C55,Tippspiel_Rechner!$AA$5:$AF$11,COLUMN()-4,FALSE)</f>
        <v>0</v>
      </c>
      <c r="I55" s="33">
        <f>VLOOKUP($C55,Tippspiel_Rechner!$AA$5:$AF$11,COLUMN()-4,FALSE)</f>
        <v>0</v>
      </c>
      <c r="J55" s="144">
        <f>VLOOKUP($C55,Tippspiel_Rechner!$AA$5:$AF$11,COLUMN()-4,FALSE)</f>
        <v>0</v>
      </c>
      <c r="K55" s="145" t="e">
        <f>VLOOKUP($C55,Rechner!$AA$5:$AF$11,COLUMN()-4,FALSE)</f>
        <v>#REF!</v>
      </c>
    </row>
    <row r="56" spans="2:36" x14ac:dyDescent="0.25">
      <c r="B56" s="6" t="b">
        <f>Tippspiel_Rechner!$AA$12</f>
        <v>0</v>
      </c>
      <c r="C56" s="8" t="str">
        <f>IF(B56,"Es liegen mindestens ein direkter Vergleich vor. Bitte löse diese mit Hilfe der Dropdowns.","")</f>
        <v/>
      </c>
    </row>
    <row r="59" spans="2:36" ht="20.25" customHeight="1" x14ac:dyDescent="0.25">
      <c r="B59" s="138" t="s">
        <v>89</v>
      </c>
      <c r="C59" s="139"/>
      <c r="D59" s="139"/>
      <c r="E59" s="139"/>
      <c r="F59" s="139"/>
      <c r="G59" s="139"/>
      <c r="H59" s="139"/>
      <c r="I59" s="139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40"/>
    </row>
    <row r="61" spans="2:36" x14ac:dyDescent="0.25">
      <c r="B61" s="20" t="s">
        <v>90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</row>
    <row r="62" spans="2:36" x14ac:dyDescent="0.25">
      <c r="B62" s="29" t="s">
        <v>11</v>
      </c>
      <c r="C62" s="28" t="s">
        <v>12</v>
      </c>
      <c r="D62" s="146" t="s">
        <v>13</v>
      </c>
      <c r="E62" s="146"/>
      <c r="F62" s="149" t="s">
        <v>14</v>
      </c>
      <c r="G62" s="149"/>
      <c r="H62" s="149"/>
      <c r="I62" s="149"/>
      <c r="J62" s="36"/>
      <c r="K62" s="36" t="s">
        <v>15</v>
      </c>
      <c r="L62" s="36"/>
      <c r="M62" s="130" t="s">
        <v>10</v>
      </c>
      <c r="N62" s="130"/>
      <c r="O62" s="130"/>
      <c r="P62" s="130" t="s">
        <v>85</v>
      </c>
      <c r="Q62" s="130"/>
      <c r="R62" s="130"/>
      <c r="S62" s="130" t="s">
        <v>77</v>
      </c>
      <c r="T62" s="130"/>
      <c r="U62" s="132"/>
      <c r="AA62" s="148"/>
      <c r="AB62" s="148"/>
      <c r="AC62" s="148"/>
      <c r="AD62" s="148"/>
      <c r="AE62" s="148"/>
      <c r="AF62" s="148"/>
      <c r="AG62" s="148"/>
      <c r="AH62" s="148"/>
      <c r="AI62" s="148"/>
      <c r="AJ62" s="148"/>
    </row>
    <row r="63" spans="2:36" x14ac:dyDescent="0.25">
      <c r="B63" s="37">
        <v>0.45833333333333331</v>
      </c>
      <c r="C63" s="25" t="s">
        <v>54</v>
      </c>
      <c r="D63" s="25" t="str">
        <f>IF(F50&lt;6,"Platz 2",VLOOKUP(C50,$C$7:$F$13,4,FALSE))</f>
        <v>Platz 2</v>
      </c>
      <c r="E63" s="25" t="str">
        <f>IF(F51&lt;6,"Platz 3",VLOOKUP(C51,$C$7:$F$13,4,FALSE))</f>
        <v>Platz 3</v>
      </c>
      <c r="F63" s="128" t="str">
        <f>IF(F54&lt;6,"Platz 6 der Vorrunde",C54)</f>
        <v>Platz 6 der Vorrunde</v>
      </c>
      <c r="G63" s="128"/>
      <c r="H63" s="128"/>
      <c r="I63" s="128"/>
      <c r="J63" s="38" t="s">
        <v>44</v>
      </c>
      <c r="K63" s="128" t="str">
        <f>IF(F55&lt;6,"Platz 7 der Vorrunde",C55)</f>
        <v>Platz 7 der Vorrunde</v>
      </c>
      <c r="L63" s="128"/>
      <c r="M63" s="95"/>
      <c r="N63" s="38" t="s">
        <v>44</v>
      </c>
      <c r="O63" s="96"/>
      <c r="P63" s="40" t="s">
        <v>78</v>
      </c>
      <c r="Q63" s="41" t="s">
        <v>44</v>
      </c>
      <c r="R63" s="42" t="s">
        <v>78</v>
      </c>
      <c r="S63" s="101"/>
      <c r="T63" s="43" t="s">
        <v>44</v>
      </c>
      <c r="U63" s="102"/>
      <c r="Y63" s="2"/>
      <c r="AC63" s="2"/>
      <c r="AF63" s="2"/>
      <c r="AI63" s="2"/>
    </row>
    <row r="64" spans="2:36" x14ac:dyDescent="0.25">
      <c r="B64" s="37">
        <v>0.47916666666666669</v>
      </c>
      <c r="C64" s="25" t="s">
        <v>79</v>
      </c>
      <c r="D64" s="25" t="str">
        <f>IF(F53&lt;6,"Platz 5",VLOOKUP(C53,$C$7:$F$13,4,FALSE))</f>
        <v>Platz 5</v>
      </c>
      <c r="E64" s="25" t="str">
        <f>IF(F55&lt;6,"Platz 7",VLOOKUP(C55,$C$7:$F$13,4,FALSE))</f>
        <v>Platz 7</v>
      </c>
      <c r="F64" s="128" t="str">
        <f>IF(F49&lt;6,"Platz 1 der Vorrunde",C49)</f>
        <v>Platz 1 der Vorrunde</v>
      </c>
      <c r="G64" s="128"/>
      <c r="H64" s="128"/>
      <c r="I64" s="128"/>
      <c r="J64" s="38" t="s">
        <v>44</v>
      </c>
      <c r="K64" s="128" t="str">
        <f>IF(F52&lt;6,"Platz 4 der Vorrunde",C52)</f>
        <v>Platz 4 der Vorrunde</v>
      </c>
      <c r="L64" s="128"/>
      <c r="M64" s="95"/>
      <c r="N64" s="38" t="s">
        <v>44</v>
      </c>
      <c r="O64" s="96"/>
      <c r="P64" s="97"/>
      <c r="Q64" s="44" t="s">
        <v>44</v>
      </c>
      <c r="R64" s="98"/>
      <c r="S64" s="97"/>
      <c r="T64" s="44" t="s">
        <v>44</v>
      </c>
      <c r="U64" s="98"/>
      <c r="W64" t="b">
        <f>IF(ISNUMBER(M64),SUM(M64,P64,S64),FALSE)</f>
        <v>0</v>
      </c>
      <c r="X64" t="b">
        <f>IF(ISNUMBER(O64),SUM(O64,R64,U64),FALSE)</f>
        <v>0</v>
      </c>
      <c r="Y64" s="2"/>
      <c r="AC64" s="2"/>
      <c r="AF64" s="2"/>
      <c r="AI64" s="2"/>
    </row>
    <row r="65" spans="2:35" x14ac:dyDescent="0.25">
      <c r="B65" s="37">
        <v>0.52083333333333337</v>
      </c>
      <c r="C65" s="25" t="s">
        <v>54</v>
      </c>
      <c r="D65" s="25" t="str">
        <f>IF(F49&lt;6,"Platz 1",VLOOKUP(C49,$C$7:$F$13,4,FALSE))</f>
        <v>Platz 1</v>
      </c>
      <c r="E65" s="25" t="str">
        <f>IF(F50&lt;6,"Platz 2",VLOOKUP(C50,$C$7:$F$13,4,FALSE))</f>
        <v>Platz 2</v>
      </c>
      <c r="F65" s="128" t="str">
        <f>IF(F53&lt;6,"Platz 5 der Vorrunde",C53)</f>
        <v>Platz 5 der Vorrunde</v>
      </c>
      <c r="G65" s="128"/>
      <c r="H65" s="128"/>
      <c r="I65" s="128"/>
      <c r="J65" s="38" t="s">
        <v>44</v>
      </c>
      <c r="K65" s="128" t="str">
        <f>IF(F55&lt;6,"Platz 7 der Vorrunde",C55)</f>
        <v>Platz 7 der Vorrunde</v>
      </c>
      <c r="L65" s="128"/>
      <c r="M65" s="95"/>
      <c r="N65" s="38" t="s">
        <v>44</v>
      </c>
      <c r="O65" s="96"/>
      <c r="P65" s="45" t="s">
        <v>78</v>
      </c>
      <c r="Q65" s="46" t="s">
        <v>44</v>
      </c>
      <c r="R65" s="47" t="s">
        <v>78</v>
      </c>
      <c r="S65" s="97"/>
      <c r="T65" s="44" t="s">
        <v>44</v>
      </c>
      <c r="U65" s="98"/>
      <c r="Y65" s="2"/>
      <c r="AC65" s="2"/>
      <c r="AF65" s="2"/>
      <c r="AI65" s="2"/>
    </row>
    <row r="66" spans="2:35" x14ac:dyDescent="0.25">
      <c r="B66" s="37">
        <v>0.52777777777777779</v>
      </c>
      <c r="C66" s="25" t="s">
        <v>80</v>
      </c>
      <c r="D66" s="25" t="str">
        <f>IF(F53&lt;6,"Platz 5",VLOOKUP(C53,$C$7:$F$13,4,FALSE))</f>
        <v>Platz 5</v>
      </c>
      <c r="E66" s="25" t="str">
        <f>IF(F54&lt;6,"Platz 6",VLOOKUP(C54,$C$7:$F$13,4,FALSE))</f>
        <v>Platz 6</v>
      </c>
      <c r="F66" s="128" t="str">
        <f>IF(F50&lt;6,"Platz 2 der Vorrunde",C50)</f>
        <v>Platz 2 der Vorrunde</v>
      </c>
      <c r="G66" s="128"/>
      <c r="H66" s="128"/>
      <c r="I66" s="128"/>
      <c r="J66" s="38" t="s">
        <v>44</v>
      </c>
      <c r="K66" s="128" t="str">
        <f>IF(F51&lt;6,"Platz 3 der Vorrunde",C51)</f>
        <v>Platz 3 der Vorrunde</v>
      </c>
      <c r="L66" s="128"/>
      <c r="M66" s="95"/>
      <c r="N66" s="38" t="s">
        <v>44</v>
      </c>
      <c r="O66" s="96"/>
      <c r="P66" s="97" t="str">
        <f>IF(AND(ISNUMBER(AA66),ISNUMBER(AD66)),AA66+AE66+AH66,"")</f>
        <v/>
      </c>
      <c r="Q66" s="44" t="s">
        <v>44</v>
      </c>
      <c r="R66" s="98"/>
      <c r="S66" s="97"/>
      <c r="T66" s="44" t="s">
        <v>44</v>
      </c>
      <c r="U66" s="98"/>
      <c r="W66" t="b">
        <f>IF(ISNUMBER(M66),SUM(M66,P66,S66),FALSE)</f>
        <v>0</v>
      </c>
      <c r="X66" t="b">
        <f>IF(ISNUMBER(O66),SUM(O66,R66,U66),FALSE)</f>
        <v>0</v>
      </c>
      <c r="Y66" s="2"/>
      <c r="AC66" s="2"/>
      <c r="AF66" s="2"/>
      <c r="AI66" s="2"/>
    </row>
    <row r="67" spans="2:35" x14ac:dyDescent="0.25">
      <c r="B67" s="37">
        <v>0.55555555555555558</v>
      </c>
      <c r="C67" s="25" t="s">
        <v>54</v>
      </c>
      <c r="D67" s="25" t="str">
        <f>IFERROR(VLOOKUP(F69,$C$7:$F$13,4,FALSE),"GHF1")</f>
        <v>GHF1</v>
      </c>
      <c r="E67" s="25" t="str">
        <f>IFERROR(VLOOKUP(K69,$C$7:$F$13,4,FALSE),"GHF2")</f>
        <v>GHF2</v>
      </c>
      <c r="F67" s="128" t="str">
        <f>IF(F53&lt;6,"Platz 5 der Vorrunde",C53)</f>
        <v>Platz 5 der Vorrunde</v>
      </c>
      <c r="G67" s="128"/>
      <c r="H67" s="128"/>
      <c r="I67" s="128"/>
      <c r="J67" s="38" t="s">
        <v>44</v>
      </c>
      <c r="K67" s="128" t="str">
        <f>IF(F54&lt;6,"Platz 6 der Vorrunde",C54)</f>
        <v>Platz 6 der Vorrunde</v>
      </c>
      <c r="L67" s="128"/>
      <c r="M67" s="95"/>
      <c r="N67" s="38" t="s">
        <v>44</v>
      </c>
      <c r="O67" s="96"/>
      <c r="P67" s="45" t="s">
        <v>78</v>
      </c>
      <c r="Q67" s="46" t="s">
        <v>44</v>
      </c>
      <c r="R67" s="47" t="s">
        <v>78</v>
      </c>
      <c r="S67" s="97"/>
      <c r="T67" s="44" t="s">
        <v>44</v>
      </c>
      <c r="U67" s="98"/>
      <c r="Y67" s="2"/>
      <c r="AC67" s="2"/>
      <c r="AF67" s="2"/>
      <c r="AI67" s="2"/>
    </row>
    <row r="68" spans="2:35" x14ac:dyDescent="0.25">
      <c r="B68" s="37">
        <v>0.58333333333333337</v>
      </c>
      <c r="C68" s="25" t="s">
        <v>55</v>
      </c>
      <c r="D68" s="25" t="str">
        <f>IF(F54&lt;6,"Platz 6",VLOOKUP(C54,$C$7:$F$13,4,FALSE))</f>
        <v>Platz 6</v>
      </c>
      <c r="E68" s="25" t="str">
        <f>IF(F55&lt;6,"Platz 7",VLOOKUP(C55,$C$7:$F$13,4,FALSE))</f>
        <v>Platz 7</v>
      </c>
      <c r="F68" s="128" t="str">
        <f>IF(W64=X64,"Verlierer HF1",IF(W64&gt;X64,K64,F64))</f>
        <v>Verlierer HF1</v>
      </c>
      <c r="G68" s="128"/>
      <c r="H68" s="128"/>
      <c r="I68" s="128"/>
      <c r="J68" s="38" t="s">
        <v>44</v>
      </c>
      <c r="K68" s="128" t="str">
        <f>IF(W66=X66,"Verlierer HF2",IF(W66&gt;X66,K66,F66))</f>
        <v>Verlierer HF2</v>
      </c>
      <c r="L68" s="128"/>
      <c r="M68" s="95"/>
      <c r="N68" s="38" t="s">
        <v>44</v>
      </c>
      <c r="O68" s="96"/>
      <c r="P68" s="97" t="str">
        <f>IF(AND(ISNUMBER(AA68),ISNUMBER(AD68)),AA68+AE68+AH68,"")</f>
        <v/>
      </c>
      <c r="Q68" s="44" t="s">
        <v>44</v>
      </c>
      <c r="R68" s="98"/>
      <c r="S68" s="97"/>
      <c r="T68" s="44" t="s">
        <v>44</v>
      </c>
      <c r="U68" s="98"/>
      <c r="W68" t="b">
        <f>IF(ISNUMBER(M68),SUM(M68,P68,S68),FALSE)</f>
        <v>0</v>
      </c>
      <c r="X68" t="b">
        <f>IF(ISNUMBER(O68),SUM(O68,R68,U68),FALSE)</f>
        <v>0</v>
      </c>
      <c r="Y68" s="2"/>
      <c r="AC68" s="2"/>
      <c r="AF68" s="2"/>
      <c r="AI68" s="2"/>
    </row>
    <row r="69" spans="2:35" x14ac:dyDescent="0.25">
      <c r="B69" s="37">
        <v>0.61458333333333337</v>
      </c>
      <c r="C69" s="25" t="s">
        <v>57</v>
      </c>
      <c r="D69" s="25" t="str">
        <f>IFERROR(VLOOKUP(F68,$C$7:$F$13,4,FALSE),"VHF1")</f>
        <v>VHF1</v>
      </c>
      <c r="E69" s="25" t="str">
        <f>IFERROR(VLOOKUP(K68,$C$7:$F$13,4,FALSE),"VHF2")</f>
        <v>VHF2</v>
      </c>
      <c r="F69" s="128" t="str">
        <f>IF(W64=X64,"Gewinner HF1",IF(W64&gt;X64,F64,K64))</f>
        <v>Gewinner HF1</v>
      </c>
      <c r="G69" s="128"/>
      <c r="H69" s="128"/>
      <c r="I69" s="128"/>
      <c r="J69" s="38" t="s">
        <v>44</v>
      </c>
      <c r="K69" s="128" t="str">
        <f>IF(W66=X66,"Gewinner HF2",IF(W66&gt;X66,F66,K66))</f>
        <v>Gewinner HF2</v>
      </c>
      <c r="L69" s="128"/>
      <c r="M69" s="95"/>
      <c r="N69" s="38" t="s">
        <v>44</v>
      </c>
      <c r="O69" s="96"/>
      <c r="P69" s="100" t="str">
        <f>IF(AND(ISNUMBER(AA69),ISNUMBER(AD69)),AA69+AE69+AH69,"")</f>
        <v/>
      </c>
      <c r="Q69" s="48" t="s">
        <v>44</v>
      </c>
      <c r="R69" s="99"/>
      <c r="S69" s="100"/>
      <c r="T69" s="48" t="s">
        <v>44</v>
      </c>
      <c r="U69" s="99"/>
      <c r="W69" t="b">
        <f>IF(ISNUMBER(M69),SUM(M69,P69,S69),FALSE)</f>
        <v>0</v>
      </c>
      <c r="X69" t="b">
        <f>IF(ISNUMBER(O69),SUM(O69,R69,U69),FALSE)</f>
        <v>0</v>
      </c>
      <c r="Y69" s="2"/>
      <c r="AC69" s="2"/>
      <c r="AF69" s="2"/>
      <c r="AI69" s="2"/>
    </row>
    <row r="70" spans="2:35" x14ac:dyDescent="0.25">
      <c r="B70" s="3"/>
    </row>
    <row r="71" spans="2:35" x14ac:dyDescent="0.25">
      <c r="B71" s="20" t="s">
        <v>92</v>
      </c>
      <c r="C71" s="16"/>
      <c r="D71" s="16"/>
      <c r="E71" s="16"/>
      <c r="F71" s="16"/>
      <c r="G71" s="16"/>
      <c r="H71" s="16"/>
      <c r="I71" s="16"/>
      <c r="J71" s="16"/>
      <c r="K71" s="17"/>
    </row>
    <row r="72" spans="2:35" x14ac:dyDescent="0.25">
      <c r="B72" s="29" t="s">
        <v>87</v>
      </c>
      <c r="C72" s="30" t="s">
        <v>53</v>
      </c>
      <c r="D72" s="31"/>
      <c r="E72" s="31"/>
      <c r="F72" s="28" t="s">
        <v>86</v>
      </c>
      <c r="G72" s="28" t="s">
        <v>81</v>
      </c>
      <c r="H72" s="28" t="s">
        <v>82</v>
      </c>
      <c r="I72" s="28" t="s">
        <v>83</v>
      </c>
      <c r="J72" s="146" t="s">
        <v>84</v>
      </c>
      <c r="K72" s="147"/>
    </row>
    <row r="73" spans="2:35" x14ac:dyDescent="0.25">
      <c r="B73" s="11">
        <v>1</v>
      </c>
      <c r="C73" s="150" t="str">
        <f>IFERROR(VLOOKUP(B73,Tippspiel_Rechner!$Y$30:$AA$32,3,FALSE),"")</f>
        <v/>
      </c>
      <c r="D73" s="150"/>
      <c r="E73" s="150"/>
      <c r="F73" s="39" t="str">
        <f>IFERROR(VLOOKUP($C73,Tippspiel_Rechner!$AA$30:$AF$32,COLUMN()-4,FALSE),"")</f>
        <v/>
      </c>
      <c r="G73" s="39" t="str">
        <f>IFERROR(VLOOKUP($C73,Tippspiel_Rechner!$AA$30:$AF$32,COLUMN()-4,FALSE),"")</f>
        <v/>
      </c>
      <c r="H73" s="39" t="str">
        <f>IFERROR(VLOOKUP($C73,Tippspiel_Rechner!$AA$30:$AF$32,COLUMN()-4,FALSE),"")</f>
        <v/>
      </c>
      <c r="I73" s="39" t="str">
        <f>IFERROR(VLOOKUP($C73,Tippspiel_Rechner!$AA$30:$AF$32,COLUMN()-4,FALSE),"")</f>
        <v/>
      </c>
      <c r="J73" s="151" t="str">
        <f>IFERROR(VLOOKUP($C73,Tippspiel_Rechner!$AA$30:$AF$32,COLUMN()-4,FALSE),"")</f>
        <v/>
      </c>
      <c r="K73" s="152"/>
    </row>
    <row r="74" spans="2:35" x14ac:dyDescent="0.25">
      <c r="B74" s="11">
        <v>2</v>
      </c>
      <c r="C74" s="150" t="str">
        <f>IFERROR(VLOOKUP(B74,Tippspiel_Rechner!$Y$30:$AA$32,3,FALSE),"")</f>
        <v/>
      </c>
      <c r="D74" s="150"/>
      <c r="E74" s="150"/>
      <c r="F74" s="39" t="str">
        <f>IFERROR(VLOOKUP($C74,Tippspiel_Rechner!$AA$30:$AF$32,COLUMN()-4,FALSE),"")</f>
        <v/>
      </c>
      <c r="G74" s="39" t="str">
        <f>IFERROR(VLOOKUP($C74,Tippspiel_Rechner!$AA$30:$AF$32,COLUMN()-4,FALSE),"")</f>
        <v/>
      </c>
      <c r="H74" s="39" t="str">
        <f>IFERROR(VLOOKUP($C74,Tippspiel_Rechner!$AA$30:$AF$32,COLUMN()-4,FALSE),"")</f>
        <v/>
      </c>
      <c r="I74" s="39" t="str">
        <f>IFERROR(VLOOKUP($C74,Tippspiel_Rechner!$AA$30:$AF$32,COLUMN()-4,FALSE),"")</f>
        <v/>
      </c>
      <c r="J74" s="151" t="str">
        <f>IFERROR(VLOOKUP($C74,Tippspiel_Rechner!$AA$30:$AF$32,COLUMN()-4,FALSE),"")</f>
        <v/>
      </c>
      <c r="K74" s="152"/>
    </row>
    <row r="75" spans="2:35" x14ac:dyDescent="0.25">
      <c r="B75" s="11">
        <v>3</v>
      </c>
      <c r="C75" s="150" t="str">
        <f>IFERROR(VLOOKUP(B75,Tippspiel_Rechner!$Y$30:$AA$32,3,FALSE),"")</f>
        <v/>
      </c>
      <c r="D75" s="150"/>
      <c r="E75" s="150"/>
      <c r="F75" s="39" t="str">
        <f>IFERROR(VLOOKUP($C75,Tippspiel_Rechner!$AA$30:$AF$32,COLUMN()-4,FALSE),"")</f>
        <v/>
      </c>
      <c r="G75" s="39" t="str">
        <f>IFERROR(VLOOKUP($C75,Tippspiel_Rechner!$AA$30:$AF$32,COLUMN()-4,FALSE),"")</f>
        <v/>
      </c>
      <c r="H75" s="39" t="str">
        <f>IFERROR(VLOOKUP($C75,Tippspiel_Rechner!$AA$30:$AF$32,COLUMN()-4,FALSE),"")</f>
        <v/>
      </c>
      <c r="I75" s="39" t="str">
        <f>IFERROR(VLOOKUP($C75,Tippspiel_Rechner!$AA$30:$AF$32,COLUMN()-4,FALSE),"")</f>
        <v/>
      </c>
      <c r="J75" s="151" t="str">
        <f>IFERROR(VLOOKUP($C75,Tippspiel_Rechner!$AA$30:$AF$32,COLUMN()-4,FALSE),"")</f>
        <v/>
      </c>
      <c r="K75" s="152"/>
    </row>
    <row r="76" spans="2:35" x14ac:dyDescent="0.25">
      <c r="B76" s="6" t="b">
        <f>Tippspiel_Rechner!$AA$33</f>
        <v>0</v>
      </c>
      <c r="C76" s="8" t="str">
        <f>IF(B76,"Es liegen mindestens ein direkter Vergleich vor. Bitte löse diese mit Hilfe der Dropdowns.","")</f>
        <v/>
      </c>
    </row>
    <row r="77" spans="2:35" x14ac:dyDescent="0.25">
      <c r="B77" s="6"/>
      <c r="C77" s="8"/>
    </row>
    <row r="78" spans="2:35" x14ac:dyDescent="0.25">
      <c r="B78" s="6"/>
      <c r="C78" s="8"/>
    </row>
    <row r="79" spans="2:35" x14ac:dyDescent="0.25">
      <c r="B79" s="154" t="s">
        <v>93</v>
      </c>
      <c r="C79" s="155"/>
      <c r="D79" s="155"/>
      <c r="E79" s="155"/>
      <c r="F79" s="155"/>
      <c r="G79" s="155"/>
      <c r="H79" s="155"/>
      <c r="I79" s="155"/>
      <c r="J79" s="155"/>
      <c r="K79" s="156"/>
    </row>
    <row r="80" spans="2:35" x14ac:dyDescent="0.25">
      <c r="B80" s="49" t="s">
        <v>87</v>
      </c>
      <c r="C80" s="36" t="s">
        <v>53</v>
      </c>
      <c r="D80" s="36"/>
      <c r="E80" s="36"/>
      <c r="F80" s="36"/>
      <c r="G80" s="36"/>
      <c r="H80" s="36"/>
      <c r="I80" s="36"/>
      <c r="J80" s="36"/>
      <c r="K80" s="50"/>
    </row>
    <row r="81" spans="2:11" x14ac:dyDescent="0.25">
      <c r="B81" s="11">
        <v>1</v>
      </c>
      <c r="C81" s="128" t="str">
        <f>IF(W69=X69,"Gewinner Spiel um Platz 1",IF(W69&gt;X69,F69,K69))</f>
        <v>Gewinner Spiel um Platz 1</v>
      </c>
      <c r="D81" s="128"/>
      <c r="E81" s="128"/>
      <c r="F81" s="128"/>
      <c r="G81" s="128"/>
      <c r="H81" s="128"/>
      <c r="I81" s="128"/>
      <c r="J81" s="128"/>
      <c r="K81" s="153"/>
    </row>
    <row r="82" spans="2:11" x14ac:dyDescent="0.25">
      <c r="B82" s="11">
        <v>2</v>
      </c>
      <c r="C82" s="128" t="str">
        <f>IF(W69=X69,"Verlierer Spiel um Platz 1",IF(W69&gt;X69,K69,F69))</f>
        <v>Verlierer Spiel um Platz 1</v>
      </c>
      <c r="D82" s="128"/>
      <c r="E82" s="128"/>
      <c r="F82" s="128"/>
      <c r="G82" s="128"/>
      <c r="H82" s="128"/>
      <c r="I82" s="128"/>
      <c r="J82" s="128"/>
      <c r="K82" s="153"/>
    </row>
    <row r="83" spans="2:11" x14ac:dyDescent="0.25">
      <c r="B83" s="11">
        <v>3</v>
      </c>
      <c r="C83" s="128" t="str">
        <f>IF(W68=X68,"Gewinner Spiel um Platz 3",IF(W68&gt;X68,F68,K68))</f>
        <v>Gewinner Spiel um Platz 3</v>
      </c>
      <c r="D83" s="128"/>
      <c r="E83" s="128"/>
      <c r="F83" s="128"/>
      <c r="G83" s="128"/>
      <c r="H83" s="128"/>
      <c r="I83" s="128"/>
      <c r="J83" s="128"/>
      <c r="K83" s="153"/>
    </row>
    <row r="84" spans="2:11" x14ac:dyDescent="0.25">
      <c r="B84" s="11">
        <v>4</v>
      </c>
      <c r="C84" s="128" t="str">
        <f>IF(W68=X68,"Verlierer Spiel um Platz 3",IF(W68&gt;X68,K68,F68))</f>
        <v>Verlierer Spiel um Platz 3</v>
      </c>
      <c r="D84" s="128"/>
      <c r="E84" s="128"/>
      <c r="F84" s="128"/>
      <c r="G84" s="128"/>
      <c r="H84" s="128"/>
      <c r="I84" s="128"/>
      <c r="J84" s="128"/>
      <c r="K84" s="153"/>
    </row>
    <row r="85" spans="2:11" x14ac:dyDescent="0.25">
      <c r="B85" s="11">
        <v>5</v>
      </c>
      <c r="C85" s="128" t="str">
        <f>IF(SUM($F$73:$F$75)=6,VLOOKUP($B85-4,$B$73:$E$75,COLUMN()-1,FALSE),"Platz 1 der Gruppe um Platz 5")</f>
        <v>Platz 1 der Gruppe um Platz 5</v>
      </c>
      <c r="D85" s="128"/>
      <c r="E85" s="128"/>
      <c r="F85" s="128"/>
      <c r="G85" s="128"/>
      <c r="H85" s="128"/>
      <c r="I85" s="128"/>
      <c r="J85" s="128"/>
      <c r="K85" s="153"/>
    </row>
    <row r="86" spans="2:11" x14ac:dyDescent="0.25">
      <c r="B86" s="11">
        <v>6</v>
      </c>
      <c r="C86" s="128" t="str">
        <f>IF(SUM($F$73:$F$75)=6,VLOOKUP($B86-4,$B$73:$E$75,COLUMN()-1,FALSE),"Platz 2 der Gruppe um Platz 5")</f>
        <v>Platz 2 der Gruppe um Platz 5</v>
      </c>
      <c r="D86" s="128"/>
      <c r="E86" s="128"/>
      <c r="F86" s="128"/>
      <c r="G86" s="128"/>
      <c r="H86" s="128"/>
      <c r="I86" s="128"/>
      <c r="J86" s="128"/>
      <c r="K86" s="153"/>
    </row>
    <row r="87" spans="2:11" x14ac:dyDescent="0.25">
      <c r="B87" s="11">
        <v>7</v>
      </c>
      <c r="C87" s="128" t="str">
        <f>IF(SUM($F$73:$F$75)=6,VLOOKUP($B87-4,$B$73:$E$75,COLUMN()-1,FALSE),"Platz 3 der Gruppe um Platz 5")</f>
        <v>Platz 3 der Gruppe um Platz 5</v>
      </c>
      <c r="D87" s="128"/>
      <c r="E87" s="128"/>
      <c r="F87" s="128"/>
      <c r="G87" s="128"/>
      <c r="H87" s="128"/>
      <c r="I87" s="128"/>
      <c r="J87" s="128"/>
      <c r="K87" s="153"/>
    </row>
  </sheetData>
  <mergeCells count="114">
    <mergeCell ref="C82:K82"/>
    <mergeCell ref="C83:K83"/>
    <mergeCell ref="C84:K84"/>
    <mergeCell ref="C85:K85"/>
    <mergeCell ref="C86:K86"/>
    <mergeCell ref="C87:K87"/>
    <mergeCell ref="C74:E74"/>
    <mergeCell ref="J74:K74"/>
    <mergeCell ref="C75:E75"/>
    <mergeCell ref="J75:K75"/>
    <mergeCell ref="B79:K79"/>
    <mergeCell ref="C81:K81"/>
    <mergeCell ref="F68:I68"/>
    <mergeCell ref="K68:L68"/>
    <mergeCell ref="F69:I69"/>
    <mergeCell ref="K69:L69"/>
    <mergeCell ref="J72:K72"/>
    <mergeCell ref="C73:E73"/>
    <mergeCell ref="J73:K73"/>
    <mergeCell ref="F65:I65"/>
    <mergeCell ref="K65:L65"/>
    <mergeCell ref="F66:I66"/>
    <mergeCell ref="K66:L66"/>
    <mergeCell ref="F67:I67"/>
    <mergeCell ref="K67:L67"/>
    <mergeCell ref="AA62:AD62"/>
    <mergeCell ref="AE62:AG62"/>
    <mergeCell ref="AH62:AJ62"/>
    <mergeCell ref="F63:I63"/>
    <mergeCell ref="K63:L63"/>
    <mergeCell ref="F64:I64"/>
    <mergeCell ref="K64:L64"/>
    <mergeCell ref="C55:E55"/>
    <mergeCell ref="J55:K55"/>
    <mergeCell ref="B59:U59"/>
    <mergeCell ref="D62:E62"/>
    <mergeCell ref="F62:I62"/>
    <mergeCell ref="M62:O62"/>
    <mergeCell ref="P62:R62"/>
    <mergeCell ref="S62:U62"/>
    <mergeCell ref="C52:E52"/>
    <mergeCell ref="J52:K52"/>
    <mergeCell ref="C53:E53"/>
    <mergeCell ref="J53:K53"/>
    <mergeCell ref="C54:E54"/>
    <mergeCell ref="J54:K54"/>
    <mergeCell ref="J48:K48"/>
    <mergeCell ref="C49:E49"/>
    <mergeCell ref="J49:K49"/>
    <mergeCell ref="C50:E50"/>
    <mergeCell ref="J50:K50"/>
    <mergeCell ref="C51:E51"/>
    <mergeCell ref="J51:K51"/>
    <mergeCell ref="F43:I43"/>
    <mergeCell ref="K43:L43"/>
    <mergeCell ref="F44:I44"/>
    <mergeCell ref="K44:L44"/>
    <mergeCell ref="F45:I45"/>
    <mergeCell ref="K45:L45"/>
    <mergeCell ref="B37:U37"/>
    <mergeCell ref="B39:U39"/>
    <mergeCell ref="M41:O42"/>
    <mergeCell ref="P41:R42"/>
    <mergeCell ref="D42:E42"/>
    <mergeCell ref="F42:I42"/>
    <mergeCell ref="F32:I32"/>
    <mergeCell ref="K32:L32"/>
    <mergeCell ref="F33:I33"/>
    <mergeCell ref="K33:L33"/>
    <mergeCell ref="F34:I34"/>
    <mergeCell ref="K34:L34"/>
    <mergeCell ref="F29:I29"/>
    <mergeCell ref="K29:L29"/>
    <mergeCell ref="F30:I30"/>
    <mergeCell ref="K30:L30"/>
    <mergeCell ref="F31:I31"/>
    <mergeCell ref="K31:L31"/>
    <mergeCell ref="F26:I26"/>
    <mergeCell ref="K26:L26"/>
    <mergeCell ref="F27:I27"/>
    <mergeCell ref="K27:L27"/>
    <mergeCell ref="F28:I28"/>
    <mergeCell ref="K28:L28"/>
    <mergeCell ref="F23:I23"/>
    <mergeCell ref="K23:L23"/>
    <mergeCell ref="F24:I24"/>
    <mergeCell ref="K24:L24"/>
    <mergeCell ref="F25:I25"/>
    <mergeCell ref="K25:L25"/>
    <mergeCell ref="F20:I20"/>
    <mergeCell ref="K20:L20"/>
    <mergeCell ref="F21:I21"/>
    <mergeCell ref="K21:L21"/>
    <mergeCell ref="F22:I22"/>
    <mergeCell ref="K22:L22"/>
    <mergeCell ref="F17:I17"/>
    <mergeCell ref="K17:L17"/>
    <mergeCell ref="F18:I18"/>
    <mergeCell ref="K18:L18"/>
    <mergeCell ref="F19:I19"/>
    <mergeCell ref="K19:L19"/>
    <mergeCell ref="C11:E11"/>
    <mergeCell ref="C12:E12"/>
    <mergeCell ref="C13:E13"/>
    <mergeCell ref="M15:O16"/>
    <mergeCell ref="P15:R16"/>
    <mergeCell ref="D16:E16"/>
    <mergeCell ref="F16:I16"/>
    <mergeCell ref="B2:U2"/>
    <mergeCell ref="B4:U4"/>
    <mergeCell ref="C7:E7"/>
    <mergeCell ref="C8:E8"/>
    <mergeCell ref="C9:E9"/>
    <mergeCell ref="C10:E10"/>
  </mergeCells>
  <conditionalFormatting sqref="G49:G55">
    <cfRule type="duplicateValues" dxfId="19" priority="5"/>
  </conditionalFormatting>
  <conditionalFormatting sqref="G73:G75">
    <cfRule type="duplicateValues" dxfId="18" priority="1"/>
  </conditionalFormatting>
  <conditionalFormatting sqref="M64:O64">
    <cfRule type="duplicateValues" dxfId="17" priority="4"/>
  </conditionalFormatting>
  <conditionalFormatting sqref="M66:O66">
    <cfRule type="duplicateValues" dxfId="16" priority="2"/>
  </conditionalFormatting>
  <conditionalFormatting sqref="M68:O68">
    <cfRule type="duplicateValues" dxfId="15" priority="3"/>
  </conditionalFormatting>
  <dataValidations count="2">
    <dataValidation type="list" allowBlank="1" showInputMessage="1" showErrorMessage="1" sqref="C73:C75" xr:uid="{2EC03450-729D-4683-8B53-F2C23A42A57F}">
      <formula1>$C$53:$C$55</formula1>
    </dataValidation>
    <dataValidation type="list" allowBlank="1" showInputMessage="1" showErrorMessage="1" sqref="C49:C55" xr:uid="{F7DE09AD-338A-4A50-AD09-E03700F19BC6}">
      <formula1>$C$7:$C$13</formula1>
    </dataValidation>
  </dataValidations>
  <pageMargins left="0.7" right="0.7" top="0.78740157499999996" bottom="0.78740157499999996" header="0.3" footer="0.3"/>
  <pageSetup paperSize="9" scale="63" orientation="portrait" r:id="rId1"/>
  <rowBreaks count="1" manualBreakCount="1">
    <brk id="56" max="21" man="1"/>
  </rowBreaks>
  <colBreaks count="1" manualBreakCount="1">
    <brk id="2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E6C6-0B23-44C9-9E6E-CA78610C2536}">
  <dimension ref="B2:AJ86"/>
  <sheetViews>
    <sheetView showGridLines="0" zoomScaleNormal="100" workbookViewId="0"/>
  </sheetViews>
  <sheetFormatPr baseColWidth="10" defaultRowHeight="15" x14ac:dyDescent="0.25"/>
  <cols>
    <col min="1" max="1" width="3.7109375" customWidth="1"/>
    <col min="2" max="2" width="7.140625" customWidth="1"/>
    <col min="3" max="3" width="9.85546875" customWidth="1"/>
    <col min="4" max="5" width="8.5703125" customWidth="1"/>
    <col min="6" max="9" width="6.42578125" customWidth="1"/>
    <col min="10" max="10" width="1.7109375" customWidth="1"/>
    <col min="11" max="11" width="4.7109375" customWidth="1"/>
    <col min="12" max="12" width="21" customWidth="1"/>
    <col min="13" max="13" width="6.42578125" customWidth="1"/>
    <col min="14" max="14" width="1.7109375" customWidth="1"/>
    <col min="15" max="16" width="6.42578125" customWidth="1"/>
    <col min="17" max="17" width="1.7109375" customWidth="1"/>
    <col min="18" max="19" width="6.42578125" customWidth="1"/>
    <col min="20" max="20" width="1.7109375" customWidth="1"/>
    <col min="21" max="21" width="6.42578125" customWidth="1"/>
    <col min="22" max="22" width="3.7109375" customWidth="1"/>
    <col min="23" max="24" width="11.42578125" hidden="1" customWidth="1"/>
  </cols>
  <sheetData>
    <row r="2" spans="2:21" ht="20.25" customHeight="1" x14ac:dyDescent="0.25">
      <c r="B2" s="135" t="s">
        <v>0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7"/>
    </row>
    <row r="3" spans="2:21" ht="3.75" customHeight="1" x14ac:dyDescent="0.25"/>
    <row r="4" spans="2:21" ht="18.75" customHeight="1" x14ac:dyDescent="0.25">
      <c r="B4" s="138" t="s">
        <v>1</v>
      </c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40"/>
    </row>
    <row r="6" spans="2:21" x14ac:dyDescent="0.25">
      <c r="B6" s="15" t="s">
        <v>2</v>
      </c>
      <c r="C6" s="9"/>
      <c r="D6" s="9"/>
      <c r="E6" s="9"/>
      <c r="F6" s="10"/>
      <c r="G6" s="1"/>
      <c r="H6" s="1"/>
    </row>
    <row r="7" spans="2:21" x14ac:dyDescent="0.25">
      <c r="B7" s="13" t="s">
        <v>37</v>
      </c>
      <c r="C7" s="141" t="s">
        <v>3</v>
      </c>
      <c r="D7" s="141"/>
      <c r="E7" s="141"/>
      <c r="F7" s="14" t="str">
        <f t="shared" ref="F7:F13" si="0">B7</f>
        <v>PHX</v>
      </c>
    </row>
    <row r="8" spans="2:21" x14ac:dyDescent="0.25">
      <c r="B8" s="11" t="s">
        <v>38</v>
      </c>
      <c r="C8" s="128" t="s">
        <v>4</v>
      </c>
      <c r="D8" s="128"/>
      <c r="E8" s="128"/>
      <c r="F8" s="12" t="str">
        <f t="shared" si="0"/>
        <v>TNS</v>
      </c>
    </row>
    <row r="9" spans="2:21" x14ac:dyDescent="0.25">
      <c r="B9" s="11" t="s">
        <v>39</v>
      </c>
      <c r="C9" s="128" t="s">
        <v>5</v>
      </c>
      <c r="D9" s="128"/>
      <c r="E9" s="128"/>
      <c r="F9" s="12" t="str">
        <f t="shared" si="0"/>
        <v>BGS</v>
      </c>
    </row>
    <row r="10" spans="2:21" x14ac:dyDescent="0.25">
      <c r="B10" s="11" t="s">
        <v>40</v>
      </c>
      <c r="C10" s="128" t="s">
        <v>6</v>
      </c>
      <c r="D10" s="128"/>
      <c r="E10" s="128"/>
      <c r="F10" s="12" t="str">
        <f t="shared" si="0"/>
        <v>EIT</v>
      </c>
    </row>
    <row r="11" spans="2:21" x14ac:dyDescent="0.25">
      <c r="B11" s="11" t="s">
        <v>41</v>
      </c>
      <c r="C11" s="128" t="s">
        <v>7</v>
      </c>
      <c r="D11" s="128"/>
      <c r="E11" s="128"/>
      <c r="F11" s="12" t="str">
        <f t="shared" si="0"/>
        <v>BLS</v>
      </c>
    </row>
    <row r="12" spans="2:21" x14ac:dyDescent="0.25">
      <c r="B12" s="11" t="s">
        <v>42</v>
      </c>
      <c r="C12" s="128" t="s">
        <v>8</v>
      </c>
      <c r="D12" s="128"/>
      <c r="E12" s="128"/>
      <c r="F12" s="12" t="str">
        <f t="shared" si="0"/>
        <v>MRT</v>
      </c>
    </row>
    <row r="13" spans="2:21" x14ac:dyDescent="0.25">
      <c r="B13" s="11" t="s">
        <v>43</v>
      </c>
      <c r="C13" s="128" t="s">
        <v>9</v>
      </c>
      <c r="D13" s="128"/>
      <c r="E13" s="128"/>
      <c r="F13" s="12" t="str">
        <f t="shared" si="0"/>
        <v>FUE</v>
      </c>
    </row>
    <row r="15" spans="2:21" x14ac:dyDescent="0.25">
      <c r="B15" s="20" t="s">
        <v>91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29" t="s">
        <v>10</v>
      </c>
      <c r="N15" s="129"/>
      <c r="O15" s="129"/>
      <c r="P15" s="129" t="s">
        <v>77</v>
      </c>
      <c r="Q15" s="129"/>
      <c r="R15" s="131"/>
    </row>
    <row r="16" spans="2:21" s="7" customFormat="1" x14ac:dyDescent="0.25">
      <c r="B16" s="21" t="s">
        <v>11</v>
      </c>
      <c r="C16" s="22" t="s">
        <v>12</v>
      </c>
      <c r="D16" s="133" t="s">
        <v>13</v>
      </c>
      <c r="E16" s="133"/>
      <c r="F16" s="134" t="s">
        <v>14</v>
      </c>
      <c r="G16" s="134"/>
      <c r="H16" s="134"/>
      <c r="I16" s="134"/>
      <c r="J16" s="23"/>
      <c r="K16" s="23" t="s">
        <v>15</v>
      </c>
      <c r="L16" s="23"/>
      <c r="M16" s="130"/>
      <c r="N16" s="130"/>
      <c r="O16" s="130"/>
      <c r="P16" s="130" t="s">
        <v>77</v>
      </c>
      <c r="Q16" s="130"/>
      <c r="R16" s="132"/>
    </row>
    <row r="17" spans="2:18" s="7" customFormat="1" x14ac:dyDescent="0.25">
      <c r="B17" s="26">
        <v>0.46875</v>
      </c>
      <c r="C17" s="24" t="s">
        <v>16</v>
      </c>
      <c r="D17" s="24" t="s">
        <v>37</v>
      </c>
      <c r="E17" s="24" t="s">
        <v>40</v>
      </c>
      <c r="F17" s="142" t="s">
        <v>4</v>
      </c>
      <c r="G17" s="142"/>
      <c r="H17" s="142"/>
      <c r="I17" s="142"/>
      <c r="J17" s="24" t="s">
        <v>44</v>
      </c>
      <c r="K17" s="142" t="s">
        <v>9</v>
      </c>
      <c r="L17" s="142"/>
      <c r="M17" s="110"/>
      <c r="N17" s="25" t="s">
        <v>44</v>
      </c>
      <c r="O17" s="111"/>
      <c r="P17" s="112"/>
      <c r="Q17" s="27" t="s">
        <v>44</v>
      </c>
      <c r="R17" s="114"/>
    </row>
    <row r="18" spans="2:18" s="7" customFormat="1" x14ac:dyDescent="0.25">
      <c r="B18" s="26">
        <f>B17+TIME(0,25,0)</f>
        <v>0.4861111111111111</v>
      </c>
      <c r="C18" s="24" t="s">
        <v>17</v>
      </c>
      <c r="D18" s="24" t="s">
        <v>43</v>
      </c>
      <c r="E18" s="24" t="s">
        <v>38</v>
      </c>
      <c r="F18" s="142" t="s">
        <v>3</v>
      </c>
      <c r="G18" s="142"/>
      <c r="H18" s="142"/>
      <c r="I18" s="142"/>
      <c r="J18" s="24" t="s">
        <v>44</v>
      </c>
      <c r="K18" s="142" t="s">
        <v>6</v>
      </c>
      <c r="L18" s="142"/>
      <c r="M18" s="110"/>
      <c r="N18" s="25" t="s">
        <v>44</v>
      </c>
      <c r="O18" s="111"/>
      <c r="P18" s="112"/>
      <c r="Q18" s="27" t="s">
        <v>44</v>
      </c>
      <c r="R18" s="114"/>
    </row>
    <row r="19" spans="2:18" s="7" customFormat="1" x14ac:dyDescent="0.25">
      <c r="B19" s="26">
        <f t="shared" ref="B19:B45" si="1">B18+TIME(0,25,0)</f>
        <v>0.50347222222222221</v>
      </c>
      <c r="C19" s="24" t="s">
        <v>18</v>
      </c>
      <c r="D19" s="24" t="s">
        <v>38</v>
      </c>
      <c r="E19" s="24" t="s">
        <v>37</v>
      </c>
      <c r="F19" s="142" t="s">
        <v>5</v>
      </c>
      <c r="G19" s="142"/>
      <c r="H19" s="142"/>
      <c r="I19" s="142"/>
      <c r="J19" s="24" t="s">
        <v>44</v>
      </c>
      <c r="K19" s="142" t="s">
        <v>8</v>
      </c>
      <c r="L19" s="142"/>
      <c r="M19" s="110"/>
      <c r="N19" s="25" t="s">
        <v>44</v>
      </c>
      <c r="O19" s="111"/>
      <c r="P19" s="112"/>
      <c r="Q19" s="27" t="s">
        <v>44</v>
      </c>
      <c r="R19" s="114"/>
    </row>
    <row r="20" spans="2:18" s="7" customFormat="1" x14ac:dyDescent="0.25">
      <c r="B20" s="26">
        <f t="shared" si="1"/>
        <v>0.52083333333333337</v>
      </c>
      <c r="C20" s="24" t="s">
        <v>19</v>
      </c>
      <c r="D20" s="24" t="s">
        <v>42</v>
      </c>
      <c r="E20" s="24" t="s">
        <v>39</v>
      </c>
      <c r="F20" s="142" t="s">
        <v>7</v>
      </c>
      <c r="G20" s="142"/>
      <c r="H20" s="142"/>
      <c r="I20" s="142"/>
      <c r="J20" s="24" t="s">
        <v>44</v>
      </c>
      <c r="K20" s="142" t="s">
        <v>9</v>
      </c>
      <c r="L20" s="142"/>
      <c r="M20" s="110"/>
      <c r="N20" s="25" t="s">
        <v>44</v>
      </c>
      <c r="O20" s="111"/>
      <c r="P20" s="112"/>
      <c r="Q20" s="27" t="s">
        <v>44</v>
      </c>
      <c r="R20" s="114"/>
    </row>
    <row r="21" spans="2:18" s="7" customFormat="1" x14ac:dyDescent="0.25">
      <c r="B21" s="26">
        <f t="shared" si="1"/>
        <v>0.53819444444444453</v>
      </c>
      <c r="C21" s="24" t="s">
        <v>20</v>
      </c>
      <c r="D21" s="24" t="s">
        <v>43</v>
      </c>
      <c r="E21" s="24" t="s">
        <v>41</v>
      </c>
      <c r="F21" s="142" t="s">
        <v>4</v>
      </c>
      <c r="G21" s="142"/>
      <c r="H21" s="142"/>
      <c r="I21" s="142"/>
      <c r="J21" s="24" t="s">
        <v>44</v>
      </c>
      <c r="K21" s="142" t="s">
        <v>6</v>
      </c>
      <c r="L21" s="142"/>
      <c r="M21" s="110"/>
      <c r="N21" s="25" t="s">
        <v>44</v>
      </c>
      <c r="O21" s="111"/>
      <c r="P21" s="112"/>
      <c r="Q21" s="27" t="s">
        <v>44</v>
      </c>
      <c r="R21" s="114"/>
    </row>
    <row r="22" spans="2:18" s="7" customFormat="1" x14ac:dyDescent="0.25">
      <c r="B22" s="26">
        <f t="shared" si="1"/>
        <v>0.55555555555555569</v>
      </c>
      <c r="C22" s="24" t="s">
        <v>21</v>
      </c>
      <c r="D22" s="24" t="s">
        <v>38</v>
      </c>
      <c r="E22" s="24" t="s">
        <v>40</v>
      </c>
      <c r="F22" s="142" t="s">
        <v>3</v>
      </c>
      <c r="G22" s="142"/>
      <c r="H22" s="142"/>
      <c r="I22" s="142"/>
      <c r="J22" s="24" t="s">
        <v>44</v>
      </c>
      <c r="K22" s="142" t="s">
        <v>8</v>
      </c>
      <c r="L22" s="142"/>
      <c r="M22" s="110"/>
      <c r="N22" s="25" t="s">
        <v>44</v>
      </c>
      <c r="O22" s="111"/>
      <c r="P22" s="112"/>
      <c r="Q22" s="27" t="s">
        <v>44</v>
      </c>
      <c r="R22" s="114"/>
    </row>
    <row r="23" spans="2:18" s="7" customFormat="1" x14ac:dyDescent="0.25">
      <c r="B23" s="26">
        <f t="shared" si="1"/>
        <v>0.57291666666666685</v>
      </c>
      <c r="C23" s="24" t="s">
        <v>22</v>
      </c>
      <c r="D23" s="24" t="s">
        <v>42</v>
      </c>
      <c r="E23" s="24" t="s">
        <v>37</v>
      </c>
      <c r="F23" s="142" t="s">
        <v>5</v>
      </c>
      <c r="G23" s="142"/>
      <c r="H23" s="142"/>
      <c r="I23" s="142"/>
      <c r="J23" s="24" t="s">
        <v>44</v>
      </c>
      <c r="K23" s="142" t="s">
        <v>7</v>
      </c>
      <c r="L23" s="142"/>
      <c r="M23" s="110"/>
      <c r="N23" s="25" t="s">
        <v>44</v>
      </c>
      <c r="O23" s="111"/>
      <c r="P23" s="112"/>
      <c r="Q23" s="27" t="s">
        <v>44</v>
      </c>
      <c r="R23" s="114"/>
    </row>
    <row r="24" spans="2:18" s="7" customFormat="1" x14ac:dyDescent="0.25">
      <c r="B24" s="26">
        <f t="shared" si="1"/>
        <v>0.59027777777777801</v>
      </c>
      <c r="C24" s="24" t="s">
        <v>23</v>
      </c>
      <c r="D24" s="24" t="s">
        <v>41</v>
      </c>
      <c r="E24" s="24" t="s">
        <v>39</v>
      </c>
      <c r="F24" s="142" t="s">
        <v>6</v>
      </c>
      <c r="G24" s="142"/>
      <c r="H24" s="142"/>
      <c r="I24" s="142"/>
      <c r="J24" s="24" t="s">
        <v>44</v>
      </c>
      <c r="K24" s="142" t="s">
        <v>9</v>
      </c>
      <c r="L24" s="142"/>
      <c r="M24" s="110"/>
      <c r="N24" s="25" t="s">
        <v>44</v>
      </c>
      <c r="O24" s="111"/>
      <c r="P24" s="112"/>
      <c r="Q24" s="27" t="s">
        <v>44</v>
      </c>
      <c r="R24" s="114"/>
    </row>
    <row r="25" spans="2:18" s="7" customFormat="1" x14ac:dyDescent="0.25">
      <c r="B25" s="26">
        <f t="shared" si="1"/>
        <v>0.60763888888888917</v>
      </c>
      <c r="C25" s="24" t="s">
        <v>24</v>
      </c>
      <c r="D25" s="24" t="s">
        <v>40</v>
      </c>
      <c r="E25" s="24" t="s">
        <v>43</v>
      </c>
      <c r="F25" s="142" t="s">
        <v>4</v>
      </c>
      <c r="G25" s="142"/>
      <c r="H25" s="142"/>
      <c r="I25" s="142"/>
      <c r="J25" s="24" t="s">
        <v>44</v>
      </c>
      <c r="K25" s="142" t="s">
        <v>8</v>
      </c>
      <c r="L25" s="142"/>
      <c r="M25" s="110"/>
      <c r="N25" s="25" t="s">
        <v>44</v>
      </c>
      <c r="O25" s="111"/>
      <c r="P25" s="112"/>
      <c r="Q25" s="27" t="s">
        <v>44</v>
      </c>
      <c r="R25" s="114"/>
    </row>
    <row r="26" spans="2:18" s="7" customFormat="1" x14ac:dyDescent="0.25">
      <c r="B26" s="26">
        <f t="shared" si="1"/>
        <v>0.62500000000000033</v>
      </c>
      <c r="C26" s="24" t="s">
        <v>25</v>
      </c>
      <c r="D26" s="24" t="s">
        <v>42</v>
      </c>
      <c r="E26" s="24" t="s">
        <v>38</v>
      </c>
      <c r="F26" s="142" t="s">
        <v>3</v>
      </c>
      <c r="G26" s="142"/>
      <c r="H26" s="142"/>
      <c r="I26" s="142"/>
      <c r="J26" s="24" t="s">
        <v>44</v>
      </c>
      <c r="K26" s="142" t="s">
        <v>7</v>
      </c>
      <c r="L26" s="142"/>
      <c r="M26" s="110"/>
      <c r="N26" s="25" t="s">
        <v>44</v>
      </c>
      <c r="O26" s="111"/>
      <c r="P26" s="112"/>
      <c r="Q26" s="27" t="s">
        <v>44</v>
      </c>
      <c r="R26" s="114"/>
    </row>
    <row r="27" spans="2:18" s="7" customFormat="1" x14ac:dyDescent="0.25">
      <c r="B27" s="26">
        <f t="shared" si="1"/>
        <v>0.64236111111111149</v>
      </c>
      <c r="C27" s="24" t="s">
        <v>26</v>
      </c>
      <c r="D27" s="24" t="s">
        <v>37</v>
      </c>
      <c r="E27" s="24" t="s">
        <v>41</v>
      </c>
      <c r="F27" s="142" t="s">
        <v>5</v>
      </c>
      <c r="G27" s="142"/>
      <c r="H27" s="142"/>
      <c r="I27" s="142"/>
      <c r="J27" s="24" t="s">
        <v>44</v>
      </c>
      <c r="K27" s="142" t="s">
        <v>9</v>
      </c>
      <c r="L27" s="142"/>
      <c r="M27" s="110"/>
      <c r="N27" s="25" t="s">
        <v>44</v>
      </c>
      <c r="O27" s="111"/>
      <c r="P27" s="112"/>
      <c r="Q27" s="27" t="s">
        <v>44</v>
      </c>
      <c r="R27" s="114"/>
    </row>
    <row r="28" spans="2:18" s="7" customFormat="1" x14ac:dyDescent="0.25">
      <c r="B28" s="26">
        <f t="shared" si="1"/>
        <v>0.65972222222222265</v>
      </c>
      <c r="C28" s="24" t="s">
        <v>27</v>
      </c>
      <c r="D28" s="24" t="s">
        <v>39</v>
      </c>
      <c r="E28" s="24" t="s">
        <v>43</v>
      </c>
      <c r="F28" s="142" t="s">
        <v>6</v>
      </c>
      <c r="G28" s="142"/>
      <c r="H28" s="142"/>
      <c r="I28" s="142"/>
      <c r="J28" s="24" t="s">
        <v>44</v>
      </c>
      <c r="K28" s="142" t="s">
        <v>8</v>
      </c>
      <c r="L28" s="142"/>
      <c r="M28" s="110"/>
      <c r="N28" s="25" t="s">
        <v>44</v>
      </c>
      <c r="O28" s="111"/>
      <c r="P28" s="112"/>
      <c r="Q28" s="27" t="s">
        <v>44</v>
      </c>
      <c r="R28" s="114"/>
    </row>
    <row r="29" spans="2:18" s="7" customFormat="1" x14ac:dyDescent="0.25">
      <c r="B29" s="26">
        <f t="shared" si="1"/>
        <v>0.67708333333333381</v>
      </c>
      <c r="C29" s="24" t="s">
        <v>28</v>
      </c>
      <c r="D29" s="24" t="s">
        <v>40</v>
      </c>
      <c r="E29" s="24" t="s">
        <v>42</v>
      </c>
      <c r="F29" s="142" t="s">
        <v>4</v>
      </c>
      <c r="G29" s="142"/>
      <c r="H29" s="142"/>
      <c r="I29" s="142"/>
      <c r="J29" s="24" t="s">
        <v>44</v>
      </c>
      <c r="K29" s="142" t="s">
        <v>7</v>
      </c>
      <c r="L29" s="142"/>
      <c r="M29" s="110"/>
      <c r="N29" s="25" t="s">
        <v>44</v>
      </c>
      <c r="O29" s="111"/>
      <c r="P29" s="112"/>
      <c r="Q29" s="27" t="s">
        <v>44</v>
      </c>
      <c r="R29" s="114"/>
    </row>
    <row r="30" spans="2:18" s="7" customFormat="1" x14ac:dyDescent="0.25">
      <c r="B30" s="26">
        <f t="shared" si="1"/>
        <v>0.69444444444444497</v>
      </c>
      <c r="C30" s="24" t="s">
        <v>29</v>
      </c>
      <c r="D30" s="24" t="s">
        <v>41</v>
      </c>
      <c r="E30" s="24" t="s">
        <v>38</v>
      </c>
      <c r="F30" s="142" t="s">
        <v>3</v>
      </c>
      <c r="G30" s="142"/>
      <c r="H30" s="142"/>
      <c r="I30" s="142"/>
      <c r="J30" s="24" t="s">
        <v>44</v>
      </c>
      <c r="K30" s="142" t="s">
        <v>5</v>
      </c>
      <c r="L30" s="142"/>
      <c r="M30" s="110"/>
      <c r="N30" s="25" t="s">
        <v>44</v>
      </c>
      <c r="O30" s="111"/>
      <c r="P30" s="112"/>
      <c r="Q30" s="27" t="s">
        <v>44</v>
      </c>
      <c r="R30" s="114"/>
    </row>
    <row r="31" spans="2:18" s="7" customFormat="1" x14ac:dyDescent="0.25">
      <c r="B31" s="26">
        <f t="shared" si="1"/>
        <v>0.71180555555555614</v>
      </c>
      <c r="C31" s="24" t="s">
        <v>30</v>
      </c>
      <c r="D31" s="24" t="s">
        <v>37</v>
      </c>
      <c r="E31" s="24" t="s">
        <v>39</v>
      </c>
      <c r="F31" s="142" t="s">
        <v>8</v>
      </c>
      <c r="G31" s="142"/>
      <c r="H31" s="142"/>
      <c r="I31" s="142"/>
      <c r="J31" s="24" t="s">
        <v>44</v>
      </c>
      <c r="K31" s="142" t="s">
        <v>9</v>
      </c>
      <c r="L31" s="142"/>
      <c r="M31" s="110"/>
      <c r="N31" s="25" t="s">
        <v>44</v>
      </c>
      <c r="O31" s="111"/>
      <c r="P31" s="112"/>
      <c r="Q31" s="27" t="s">
        <v>44</v>
      </c>
      <c r="R31" s="114"/>
    </row>
    <row r="32" spans="2:18" s="7" customFormat="1" x14ac:dyDescent="0.25">
      <c r="B32" s="26">
        <f t="shared" si="1"/>
        <v>0.7291666666666673</v>
      </c>
      <c r="C32" s="24" t="s">
        <v>31</v>
      </c>
      <c r="D32" s="24" t="s">
        <v>43</v>
      </c>
      <c r="E32" s="24" t="s">
        <v>42</v>
      </c>
      <c r="F32" s="142" t="s">
        <v>6</v>
      </c>
      <c r="G32" s="142"/>
      <c r="H32" s="142"/>
      <c r="I32" s="142"/>
      <c r="J32" s="24" t="s">
        <v>44</v>
      </c>
      <c r="K32" s="142" t="s">
        <v>7</v>
      </c>
      <c r="L32" s="142"/>
      <c r="M32" s="110"/>
      <c r="N32" s="25" t="s">
        <v>44</v>
      </c>
      <c r="O32" s="111"/>
      <c r="P32" s="112"/>
      <c r="Q32" s="27" t="s">
        <v>44</v>
      </c>
      <c r="R32" s="114"/>
    </row>
    <row r="33" spans="2:21" s="7" customFormat="1" x14ac:dyDescent="0.25">
      <c r="B33" s="26">
        <f t="shared" si="1"/>
        <v>0.74652777777777846</v>
      </c>
      <c r="C33" s="24" t="s">
        <v>32</v>
      </c>
      <c r="D33" s="24" t="s">
        <v>40</v>
      </c>
      <c r="E33" s="24" t="s">
        <v>41</v>
      </c>
      <c r="F33" s="142" t="s">
        <v>4</v>
      </c>
      <c r="G33" s="142"/>
      <c r="H33" s="142"/>
      <c r="I33" s="142"/>
      <c r="J33" s="24" t="s">
        <v>44</v>
      </c>
      <c r="K33" s="142" t="s">
        <v>5</v>
      </c>
      <c r="L33" s="142"/>
      <c r="M33" s="110"/>
      <c r="N33" s="25" t="s">
        <v>44</v>
      </c>
      <c r="O33" s="111"/>
      <c r="P33" s="112"/>
      <c r="Q33" s="27" t="s">
        <v>44</v>
      </c>
      <c r="R33" s="114"/>
    </row>
    <row r="34" spans="2:21" s="7" customFormat="1" x14ac:dyDescent="0.25">
      <c r="B34" s="26">
        <f t="shared" si="1"/>
        <v>0.76388888888888962</v>
      </c>
      <c r="C34" s="24" t="s">
        <v>33</v>
      </c>
      <c r="D34" s="24" t="s">
        <v>39</v>
      </c>
      <c r="E34" s="24" t="s">
        <v>38</v>
      </c>
      <c r="F34" s="142" t="s">
        <v>3</v>
      </c>
      <c r="G34" s="142"/>
      <c r="H34" s="142"/>
      <c r="I34" s="142"/>
      <c r="J34" s="24" t="s">
        <v>44</v>
      </c>
      <c r="K34" s="142" t="s">
        <v>9</v>
      </c>
      <c r="L34" s="142"/>
      <c r="M34" s="110"/>
      <c r="N34" s="25" t="s">
        <v>44</v>
      </c>
      <c r="O34" s="111"/>
      <c r="P34" s="113"/>
      <c r="Q34" s="89" t="s">
        <v>44</v>
      </c>
      <c r="R34" s="115"/>
    </row>
    <row r="35" spans="2:21" s="7" customFormat="1" x14ac:dyDescent="0.2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2:21" s="7" customFormat="1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2:21" ht="20.25" customHeight="1" x14ac:dyDescent="0.25">
      <c r="B37" s="135" t="s">
        <v>94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7"/>
    </row>
    <row r="38" spans="2:21" s="7" customFormat="1" ht="3.75" customHeight="1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2:21" s="7" customFormat="1" ht="18.75" customHeight="1" x14ac:dyDescent="0.25">
      <c r="B39" s="138" t="s">
        <v>1</v>
      </c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40"/>
    </row>
    <row r="40" spans="2:21" s="7" customFormat="1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2:21" s="7" customFormat="1" x14ac:dyDescent="0.25">
      <c r="B41" s="20" t="s">
        <v>91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29" t="s">
        <v>10</v>
      </c>
      <c r="N41" s="129"/>
      <c r="O41" s="129"/>
      <c r="P41" s="129" t="s">
        <v>77</v>
      </c>
      <c r="Q41" s="129"/>
      <c r="R41" s="131"/>
    </row>
    <row r="42" spans="2:21" s="7" customFormat="1" x14ac:dyDescent="0.25">
      <c r="B42" s="21" t="s">
        <v>11</v>
      </c>
      <c r="C42" s="22" t="s">
        <v>12</v>
      </c>
      <c r="D42" s="133" t="s">
        <v>13</v>
      </c>
      <c r="E42" s="133"/>
      <c r="F42" s="134" t="s">
        <v>14</v>
      </c>
      <c r="G42" s="134"/>
      <c r="H42" s="134"/>
      <c r="I42" s="134"/>
      <c r="J42" s="23"/>
      <c r="K42" s="23" t="s">
        <v>15</v>
      </c>
      <c r="L42" s="23"/>
      <c r="M42" s="130"/>
      <c r="N42" s="130"/>
      <c r="O42" s="130"/>
      <c r="P42" s="130" t="s">
        <v>77</v>
      </c>
      <c r="Q42" s="130"/>
      <c r="R42" s="132"/>
    </row>
    <row r="43" spans="2:21" s="7" customFormat="1" x14ac:dyDescent="0.25">
      <c r="B43" s="26">
        <v>0.39583333333333331</v>
      </c>
      <c r="C43" s="24" t="s">
        <v>34</v>
      </c>
      <c r="D43" s="24" t="s">
        <v>37</v>
      </c>
      <c r="E43" s="24" t="s">
        <v>43</v>
      </c>
      <c r="F43" s="142" t="s">
        <v>7</v>
      </c>
      <c r="G43" s="142"/>
      <c r="H43" s="142"/>
      <c r="I43" s="142"/>
      <c r="J43" s="24" t="s">
        <v>44</v>
      </c>
      <c r="K43" s="142" t="s">
        <v>8</v>
      </c>
      <c r="L43" s="142"/>
      <c r="M43" s="110"/>
      <c r="N43" s="25" t="s">
        <v>44</v>
      </c>
      <c r="O43" s="111"/>
      <c r="P43" s="116"/>
      <c r="Q43" s="52" t="s">
        <v>44</v>
      </c>
      <c r="R43" s="118"/>
    </row>
    <row r="44" spans="2:21" s="7" customFormat="1" x14ac:dyDescent="0.25">
      <c r="B44" s="26">
        <f>B43+TIME(0,25,0)</f>
        <v>0.41319444444444442</v>
      </c>
      <c r="C44" s="24" t="s">
        <v>35</v>
      </c>
      <c r="D44" s="24" t="s">
        <v>41</v>
      </c>
      <c r="E44" s="24" t="s">
        <v>42</v>
      </c>
      <c r="F44" s="142" t="s">
        <v>5</v>
      </c>
      <c r="G44" s="142"/>
      <c r="H44" s="142"/>
      <c r="I44" s="142"/>
      <c r="J44" s="24" t="s">
        <v>44</v>
      </c>
      <c r="K44" s="142" t="s">
        <v>6</v>
      </c>
      <c r="L44" s="142"/>
      <c r="M44" s="110"/>
      <c r="N44" s="25" t="s">
        <v>44</v>
      </c>
      <c r="O44" s="111"/>
      <c r="P44" s="112"/>
      <c r="Q44" s="27" t="s">
        <v>44</v>
      </c>
      <c r="R44" s="114"/>
    </row>
    <row r="45" spans="2:21" s="7" customFormat="1" x14ac:dyDescent="0.25">
      <c r="B45" s="26">
        <f t="shared" si="1"/>
        <v>0.43055555555555552</v>
      </c>
      <c r="C45" s="24" t="s">
        <v>36</v>
      </c>
      <c r="D45" s="24" t="s">
        <v>40</v>
      </c>
      <c r="E45" s="24" t="s">
        <v>39</v>
      </c>
      <c r="F45" s="142" t="s">
        <v>3</v>
      </c>
      <c r="G45" s="142"/>
      <c r="H45" s="142"/>
      <c r="I45" s="142"/>
      <c r="J45" s="24" t="s">
        <v>44</v>
      </c>
      <c r="K45" s="142" t="s">
        <v>4</v>
      </c>
      <c r="L45" s="142"/>
      <c r="M45" s="110"/>
      <c r="N45" s="25" t="s">
        <v>44</v>
      </c>
      <c r="O45" s="111"/>
      <c r="P45" s="117"/>
      <c r="Q45" s="51" t="s">
        <v>44</v>
      </c>
      <c r="R45" s="119"/>
    </row>
    <row r="47" spans="2:21" x14ac:dyDescent="0.25">
      <c r="B47" s="20" t="s">
        <v>88</v>
      </c>
      <c r="C47" s="18"/>
      <c r="D47" s="18"/>
      <c r="E47" s="18"/>
      <c r="F47" s="18"/>
      <c r="G47" s="18"/>
      <c r="H47" s="18"/>
      <c r="I47" s="18"/>
      <c r="J47" s="18"/>
      <c r="K47" s="19"/>
    </row>
    <row r="48" spans="2:21" s="7" customFormat="1" x14ac:dyDescent="0.25">
      <c r="B48" s="29" t="s">
        <v>87</v>
      </c>
      <c r="C48" s="30" t="s">
        <v>53</v>
      </c>
      <c r="D48" s="31"/>
      <c r="E48" s="31"/>
      <c r="F48" s="28" t="s">
        <v>86</v>
      </c>
      <c r="G48" s="28" t="s">
        <v>81</v>
      </c>
      <c r="H48" s="28" t="s">
        <v>82</v>
      </c>
      <c r="I48" s="28" t="s">
        <v>83</v>
      </c>
      <c r="J48" s="146" t="s">
        <v>84</v>
      </c>
      <c r="K48" s="147"/>
    </row>
    <row r="49" spans="2:36" s="7" customFormat="1" x14ac:dyDescent="0.25">
      <c r="B49" s="32">
        <v>1</v>
      </c>
      <c r="C49" s="157" t="str">
        <f>VLOOKUP($B49,Rechner!$Y$5:$AF$11,COLUMN(),FALSE)</f>
        <v>SKV Mörfelden Phönix</v>
      </c>
      <c r="D49" s="157"/>
      <c r="E49" s="157"/>
      <c r="F49" s="33">
        <f>VLOOKUP($C49,Rechner!$AA$5:$AF$11,COLUMN()-4,FALSE)</f>
        <v>0</v>
      </c>
      <c r="G49" s="33">
        <f>VLOOKUP($C49,Rechner!$AA$5:$AF$11,COLUMN()-4,FALSE)</f>
        <v>0</v>
      </c>
      <c r="H49" s="33">
        <f>VLOOKUP($C49,Rechner!$AA$5:$AF$11,COLUMN()-4,FALSE)</f>
        <v>0</v>
      </c>
      <c r="I49" s="33">
        <f>VLOOKUP($C49,Rechner!$AA$5:$AF$11,COLUMN()-4,FALSE)</f>
        <v>0</v>
      </c>
      <c r="J49" s="144">
        <f>VLOOKUP($C49,Rechner!$AA$5:$AF$11,COLUMN()-4,FALSE)</f>
        <v>0</v>
      </c>
      <c r="K49" s="145" t="e">
        <f>VLOOKUP($C49,Rechner!$AA$5:$AF$11,COLUMN()-4,FALSE)</f>
        <v>#REF!</v>
      </c>
    </row>
    <row r="50" spans="2:36" s="7" customFormat="1" x14ac:dyDescent="0.25">
      <c r="B50" s="32">
        <v>2</v>
      </c>
      <c r="C50" s="157" t="str">
        <f>VLOOKUP($B50,Rechner!$Y$5:$AF$11,COLUMN(),FALSE)</f>
        <v>SKV Mörfelden Titans</v>
      </c>
      <c r="D50" s="157"/>
      <c r="E50" s="157"/>
      <c r="F50" s="33">
        <f>VLOOKUP($C50,Rechner!$AA$5:$AF$11,COLUMN()-4,FALSE)</f>
        <v>0</v>
      </c>
      <c r="G50" s="33">
        <f>VLOOKUP($C50,Rechner!$AA$5:$AF$11,COLUMN()-4,FALSE)</f>
        <v>0</v>
      </c>
      <c r="H50" s="33">
        <f>VLOOKUP($C50,Rechner!$AA$5:$AF$11,COLUMN()-4,FALSE)</f>
        <v>0</v>
      </c>
      <c r="I50" s="33">
        <f>VLOOKUP($C50,Rechner!$AA$5:$AF$11,COLUMN()-4,FALSE)</f>
        <v>0</v>
      </c>
      <c r="J50" s="144">
        <f>VLOOKUP($C50,Rechner!$AA$5:$AF$11,COLUMN()-4,FALSE)</f>
        <v>0</v>
      </c>
      <c r="K50" s="145" t="e">
        <f>VLOOKUP($C50,Rechner!$AA$5:$AF$11,COLUMN()-4,FALSE)</f>
        <v>#REF!</v>
      </c>
    </row>
    <row r="51" spans="2:36" s="7" customFormat="1" x14ac:dyDescent="0.25">
      <c r="B51" s="32">
        <v>3</v>
      </c>
      <c r="C51" s="157" t="str">
        <f>VLOOKUP($B51,Rechner!$Y$5:$AF$11,COLUMN(),FALSE)</f>
        <v>BTC Baukau Boogaloos</v>
      </c>
      <c r="D51" s="157"/>
      <c r="E51" s="157"/>
      <c r="F51" s="33">
        <f>VLOOKUP($C51,Rechner!$AA$5:$AF$11,COLUMN()-4,FALSE)</f>
        <v>0</v>
      </c>
      <c r="G51" s="33">
        <f>VLOOKUP($C51,Rechner!$AA$5:$AF$11,COLUMN()-4,FALSE)</f>
        <v>0</v>
      </c>
      <c r="H51" s="33">
        <f>VLOOKUP($C51,Rechner!$AA$5:$AF$11,COLUMN()-4,FALSE)</f>
        <v>0</v>
      </c>
      <c r="I51" s="33">
        <f>VLOOKUP($C51,Rechner!$AA$5:$AF$11,COLUMN()-4,FALSE)</f>
        <v>0</v>
      </c>
      <c r="J51" s="144">
        <f>VLOOKUP($C51,Rechner!$AA$5:$AF$11,COLUMN()-4,FALSE)</f>
        <v>0</v>
      </c>
      <c r="K51" s="145" t="e">
        <f>VLOOKUP($C51,Rechner!$AA$5:$AF$11,COLUMN()-4,FALSE)</f>
        <v>#REF!</v>
      </c>
    </row>
    <row r="52" spans="2:36" s="7" customFormat="1" x14ac:dyDescent="0.25">
      <c r="B52" s="32">
        <v>4</v>
      </c>
      <c r="C52" s="157" t="str">
        <f>VLOOKUP($B52,Rechner!$Y$5:$AF$11,COLUMN(),FALSE)</f>
        <v>Dresdner Einradtiger</v>
      </c>
      <c r="D52" s="157"/>
      <c r="E52" s="157"/>
      <c r="F52" s="33">
        <f>VLOOKUP($C52,Rechner!$AA$5:$AF$11,COLUMN()-4,FALSE)</f>
        <v>0</v>
      </c>
      <c r="G52" s="33">
        <f>VLOOKUP($C52,Rechner!$AA$5:$AF$11,COLUMN()-4,FALSE)</f>
        <v>0</v>
      </c>
      <c r="H52" s="33">
        <f>VLOOKUP($C52,Rechner!$AA$5:$AF$11,COLUMN()-4,FALSE)</f>
        <v>0</v>
      </c>
      <c r="I52" s="33">
        <f>VLOOKUP($C52,Rechner!$AA$5:$AF$11,COLUMN()-4,FALSE)</f>
        <v>0</v>
      </c>
      <c r="J52" s="144">
        <f>VLOOKUP($C52,Rechner!$AA$5:$AF$11,COLUMN()-4,FALSE)</f>
        <v>0</v>
      </c>
      <c r="K52" s="145" t="e">
        <f>VLOOKUP($C52,Rechner!$AA$5:$AF$11,COLUMN()-4,FALSE)</f>
        <v>#REF!</v>
      </c>
    </row>
    <row r="53" spans="2:36" s="7" customFormat="1" x14ac:dyDescent="0.25">
      <c r="B53" s="32">
        <v>5</v>
      </c>
      <c r="C53" s="157" t="str">
        <f>VLOOKUP($B53,Rechner!$Y$5:$AF$11,COLUMN(),FALSE)</f>
        <v>Black Stars</v>
      </c>
      <c r="D53" s="157"/>
      <c r="E53" s="157"/>
      <c r="F53" s="33">
        <f>VLOOKUP($C53,Rechner!$AA$5:$AF$11,COLUMN()-4,FALSE)</f>
        <v>0</v>
      </c>
      <c r="G53" s="33">
        <f>VLOOKUP($C53,Rechner!$AA$5:$AF$11,COLUMN()-4,FALSE)</f>
        <v>0</v>
      </c>
      <c r="H53" s="33">
        <f>VLOOKUP($C53,Rechner!$AA$5:$AF$11,COLUMN()-4,FALSE)</f>
        <v>0</v>
      </c>
      <c r="I53" s="33">
        <f>VLOOKUP($C53,Rechner!$AA$5:$AF$11,COLUMN()-4,FALSE)</f>
        <v>0</v>
      </c>
      <c r="J53" s="144">
        <f>VLOOKUP($C53,Rechner!$AA$5:$AF$11,COLUMN()-4,FALSE)</f>
        <v>0</v>
      </c>
      <c r="K53" s="145" t="e">
        <f>VLOOKUP($C53,Rechner!$AA$5:$AF$11,COLUMN()-4,FALSE)</f>
        <v>#REF!</v>
      </c>
    </row>
    <row r="54" spans="2:36" s="7" customFormat="1" x14ac:dyDescent="0.25">
      <c r="B54" s="32">
        <v>6</v>
      </c>
      <c r="C54" s="157" t="str">
        <f>VLOOKUP($B54,Rechner!$Y$5:$AF$11,COLUMN(),FALSE)</f>
        <v>TV Lilienthal Moorteufel</v>
      </c>
      <c r="D54" s="157"/>
      <c r="E54" s="157"/>
      <c r="F54" s="33">
        <f>VLOOKUP($C54,Rechner!$AA$5:$AF$11,COLUMN()-4,FALSE)</f>
        <v>0</v>
      </c>
      <c r="G54" s="33">
        <f>VLOOKUP($C54,Rechner!$AA$5:$AF$11,COLUMN()-4,FALSE)</f>
        <v>0</v>
      </c>
      <c r="H54" s="33">
        <f>VLOOKUP($C54,Rechner!$AA$5:$AF$11,COLUMN()-4,FALSE)</f>
        <v>0</v>
      </c>
      <c r="I54" s="33">
        <f>VLOOKUP($C54,Rechner!$AA$5:$AF$11,COLUMN()-4,FALSE)</f>
        <v>0</v>
      </c>
      <c r="J54" s="144">
        <f>VLOOKUP($C54,Rechner!$AA$5:$AF$11,COLUMN()-4,FALSE)</f>
        <v>0</v>
      </c>
      <c r="K54" s="145" t="e">
        <f>VLOOKUP($C54,Rechner!$AA$5:$AF$11,COLUMN()-4,FALSE)</f>
        <v>#REF!</v>
      </c>
    </row>
    <row r="55" spans="2:36" s="7" customFormat="1" x14ac:dyDescent="0.25">
      <c r="B55" s="32">
        <v>7</v>
      </c>
      <c r="C55" s="157" t="str">
        <f>VLOOKUP($B55,Rechner!$Y$5:$AF$11,COLUMN(),FALSE)</f>
        <v>Einradfüchse</v>
      </c>
      <c r="D55" s="157"/>
      <c r="E55" s="157"/>
      <c r="F55" s="33">
        <f>VLOOKUP($C55,Rechner!$AA$5:$AF$11,COLUMN()-4,FALSE)</f>
        <v>0</v>
      </c>
      <c r="G55" s="33">
        <f>VLOOKUP($C55,Rechner!$AA$5:$AF$11,COLUMN()-4,FALSE)</f>
        <v>0</v>
      </c>
      <c r="H55" s="33">
        <f>VLOOKUP($C55,Rechner!$AA$5:$AF$11,COLUMN()-4,FALSE)</f>
        <v>0</v>
      </c>
      <c r="I55" s="33">
        <f>VLOOKUP($C55,Rechner!$AA$5:$AF$11,COLUMN()-4,FALSE)</f>
        <v>0</v>
      </c>
      <c r="J55" s="144">
        <f>VLOOKUP($C55,Rechner!$AA$5:$AF$11,COLUMN()-4,FALSE)</f>
        <v>0</v>
      </c>
      <c r="K55" s="145" t="e">
        <f>VLOOKUP($C55,Rechner!$AA$5:$AF$11,COLUMN()-4,FALSE)</f>
        <v>#REF!</v>
      </c>
    </row>
    <row r="56" spans="2:36" x14ac:dyDescent="0.25">
      <c r="B56" s="6" t="b">
        <f>Rechner!$AA$12</f>
        <v>0</v>
      </c>
      <c r="C56" s="8" t="str">
        <f>IF(B56,"Es liegen mindestens ein direkter Vergleich vor. Bitte löse diese mit Hilfe der Dropdowns.","")</f>
        <v/>
      </c>
    </row>
    <row r="58" spans="2:36" ht="20.25" customHeight="1" x14ac:dyDescent="0.25">
      <c r="B58" s="138" t="s">
        <v>89</v>
      </c>
      <c r="C58" s="139"/>
      <c r="D58" s="139"/>
      <c r="E58" s="139"/>
      <c r="F58" s="139"/>
      <c r="G58" s="139"/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40"/>
    </row>
    <row r="60" spans="2:36" x14ac:dyDescent="0.25">
      <c r="B60" s="20" t="s">
        <v>90</v>
      </c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</row>
    <row r="61" spans="2:36" x14ac:dyDescent="0.25">
      <c r="B61" s="29" t="s">
        <v>11</v>
      </c>
      <c r="C61" s="28" t="s">
        <v>12</v>
      </c>
      <c r="D61" s="146" t="s">
        <v>13</v>
      </c>
      <c r="E61" s="146"/>
      <c r="F61" s="149" t="s">
        <v>14</v>
      </c>
      <c r="G61" s="149"/>
      <c r="H61" s="149"/>
      <c r="I61" s="149"/>
      <c r="J61" s="36"/>
      <c r="K61" s="36" t="s">
        <v>15</v>
      </c>
      <c r="L61" s="36"/>
      <c r="M61" s="130" t="s">
        <v>10</v>
      </c>
      <c r="N61" s="130"/>
      <c r="O61" s="130"/>
      <c r="P61" s="130" t="s">
        <v>85</v>
      </c>
      <c r="Q61" s="130"/>
      <c r="R61" s="130"/>
      <c r="S61" s="130" t="s">
        <v>77</v>
      </c>
      <c r="T61" s="130"/>
      <c r="U61" s="132"/>
      <c r="AA61" s="148"/>
      <c r="AB61" s="148"/>
      <c r="AC61" s="148"/>
      <c r="AD61" s="148"/>
      <c r="AE61" s="148"/>
      <c r="AF61" s="148"/>
      <c r="AG61" s="148"/>
      <c r="AH61" s="148"/>
      <c r="AI61" s="148"/>
      <c r="AJ61" s="148"/>
    </row>
    <row r="62" spans="2:36" x14ac:dyDescent="0.25">
      <c r="B62" s="37">
        <v>0.45833333333333331</v>
      </c>
      <c r="C62" s="25" t="s">
        <v>54</v>
      </c>
      <c r="D62" s="25" t="str">
        <f>IF(F50&lt;6,"Platz 2",VLOOKUP(C50,$C$7:$F$13,4,FALSE))</f>
        <v>Platz 2</v>
      </c>
      <c r="E62" s="25" t="str">
        <f>IF(F51&lt;6,"Platz 3",VLOOKUP(C51,$C$7:$F$13,4,FALSE))</f>
        <v>Platz 3</v>
      </c>
      <c r="F62" s="128" t="str">
        <f>IF(F54&lt;6,"Platz 6 der Vorrunde",C54)</f>
        <v>Platz 6 der Vorrunde</v>
      </c>
      <c r="G62" s="128"/>
      <c r="H62" s="128"/>
      <c r="I62" s="128"/>
      <c r="J62" s="38" t="s">
        <v>44</v>
      </c>
      <c r="K62" s="128" t="str">
        <f>IF(F55&lt;6,"Platz 7 der Vorrunde",C55)</f>
        <v>Platz 7 der Vorrunde</v>
      </c>
      <c r="L62" s="128"/>
      <c r="M62" s="120"/>
      <c r="N62" s="38" t="s">
        <v>44</v>
      </c>
      <c r="O62" s="109"/>
      <c r="P62" s="40" t="s">
        <v>78</v>
      </c>
      <c r="Q62" s="41" t="s">
        <v>44</v>
      </c>
      <c r="R62" s="42" t="s">
        <v>78</v>
      </c>
      <c r="S62" s="121"/>
      <c r="T62" s="43" t="s">
        <v>44</v>
      </c>
      <c r="U62" s="122"/>
      <c r="Y62" s="2"/>
      <c r="AC62" s="2"/>
      <c r="AF62" s="2"/>
      <c r="AI62" s="2"/>
    </row>
    <row r="63" spans="2:36" x14ac:dyDescent="0.25">
      <c r="B63" s="37">
        <v>0.47916666666666669</v>
      </c>
      <c r="C63" s="25" t="s">
        <v>79</v>
      </c>
      <c r="D63" s="25" t="str">
        <f>IF(F53&lt;6,"Platz 5",VLOOKUP(C53,$C$7:$F$13,4,FALSE))</f>
        <v>Platz 5</v>
      </c>
      <c r="E63" s="25" t="str">
        <f>IF(F55&lt;6,"Platz 7",VLOOKUP(C55,$C$7:$F$13,4,FALSE))</f>
        <v>Platz 7</v>
      </c>
      <c r="F63" s="128" t="str">
        <f>IF(F49&lt;6,"Platz 1 der Vorrunde",C49)</f>
        <v>Platz 1 der Vorrunde</v>
      </c>
      <c r="G63" s="128"/>
      <c r="H63" s="128"/>
      <c r="I63" s="128"/>
      <c r="J63" s="38" t="s">
        <v>44</v>
      </c>
      <c r="K63" s="128" t="str">
        <f>IF(F52&lt;6,"Platz 4 der Vorrunde",C52)</f>
        <v>Platz 4 der Vorrunde</v>
      </c>
      <c r="L63" s="128"/>
      <c r="M63" s="120"/>
      <c r="N63" s="38" t="s">
        <v>44</v>
      </c>
      <c r="O63" s="109"/>
      <c r="P63" s="123"/>
      <c r="Q63" s="44" t="s">
        <v>44</v>
      </c>
      <c r="R63" s="124"/>
      <c r="S63" s="123"/>
      <c r="T63" s="44" t="s">
        <v>44</v>
      </c>
      <c r="U63" s="124"/>
      <c r="W63" t="b">
        <f>IF(ISNUMBER(M63),SUM(M63,P63,S63),FALSE)</f>
        <v>0</v>
      </c>
      <c r="X63" t="b">
        <f>IF(ISNUMBER(O63),SUM(O63,R63,U63),FALSE)</f>
        <v>0</v>
      </c>
      <c r="Y63" s="2"/>
      <c r="AC63" s="2"/>
      <c r="AF63" s="2"/>
      <c r="AI63" s="2"/>
    </row>
    <row r="64" spans="2:36" x14ac:dyDescent="0.25">
      <c r="B64" s="37">
        <v>0.52083333333333337</v>
      </c>
      <c r="C64" s="25" t="s">
        <v>54</v>
      </c>
      <c r="D64" s="25" t="str">
        <f>IF(F49&lt;6,"Platz 1",VLOOKUP(C49,$C$7:$F$13,4,FALSE))</f>
        <v>Platz 1</v>
      </c>
      <c r="E64" s="25" t="str">
        <f>IF(F50&lt;6,"Platz 2",VLOOKUP(C50,$C$7:$F$13,4,FALSE))</f>
        <v>Platz 2</v>
      </c>
      <c r="F64" s="128" t="str">
        <f>IF(F53&lt;6,"Platz 5 der Vorrunde",C53)</f>
        <v>Platz 5 der Vorrunde</v>
      </c>
      <c r="G64" s="128"/>
      <c r="H64" s="128"/>
      <c r="I64" s="128"/>
      <c r="J64" s="38" t="s">
        <v>44</v>
      </c>
      <c r="K64" s="128" t="str">
        <f>IF(F55&lt;6,"Platz 7 der Vorrunde",C55)</f>
        <v>Platz 7 der Vorrunde</v>
      </c>
      <c r="L64" s="128"/>
      <c r="M64" s="120"/>
      <c r="N64" s="38" t="s">
        <v>44</v>
      </c>
      <c r="O64" s="109"/>
      <c r="P64" s="45" t="s">
        <v>78</v>
      </c>
      <c r="Q64" s="46" t="s">
        <v>44</v>
      </c>
      <c r="R64" s="47" t="s">
        <v>78</v>
      </c>
      <c r="S64" s="123"/>
      <c r="T64" s="44" t="s">
        <v>44</v>
      </c>
      <c r="U64" s="124"/>
      <c r="Y64" s="2"/>
      <c r="AC64" s="2"/>
      <c r="AF64" s="2"/>
      <c r="AI64" s="2"/>
    </row>
    <row r="65" spans="2:35" x14ac:dyDescent="0.25">
      <c r="B65" s="37">
        <v>0.52777777777777779</v>
      </c>
      <c r="C65" s="25" t="s">
        <v>80</v>
      </c>
      <c r="D65" s="25" t="str">
        <f>IF(F53&lt;6,"Platz 5",VLOOKUP(C53,$C$7:$F$13,4,FALSE))</f>
        <v>Platz 5</v>
      </c>
      <c r="E65" s="25" t="str">
        <f>IF(F54&lt;6,"Platz 6",VLOOKUP(C54,$C$7:$F$13,4,FALSE))</f>
        <v>Platz 6</v>
      </c>
      <c r="F65" s="128" t="str">
        <f>IF(F50&lt;6,"Platz 2 der Vorrunde",C50)</f>
        <v>Platz 2 der Vorrunde</v>
      </c>
      <c r="G65" s="128"/>
      <c r="H65" s="128"/>
      <c r="I65" s="128"/>
      <c r="J65" s="38" t="s">
        <v>44</v>
      </c>
      <c r="K65" s="128" t="str">
        <f>IF(F51&lt;6,"Platz 3 der Vorrunde",C51)</f>
        <v>Platz 3 der Vorrunde</v>
      </c>
      <c r="L65" s="128"/>
      <c r="M65" s="120"/>
      <c r="N65" s="38" t="s">
        <v>44</v>
      </c>
      <c r="O65" s="109"/>
      <c r="P65" s="123" t="str">
        <f>IF(AND(ISNUMBER(AA65),ISNUMBER(AD65)),AA65+AE65+AH65,"")</f>
        <v/>
      </c>
      <c r="Q65" s="44" t="s">
        <v>44</v>
      </c>
      <c r="R65" s="124"/>
      <c r="S65" s="123"/>
      <c r="T65" s="44" t="s">
        <v>44</v>
      </c>
      <c r="U65" s="124"/>
      <c r="W65" t="b">
        <f>IF(ISNUMBER(M65),SUM(M65,P65,S65),FALSE)</f>
        <v>0</v>
      </c>
      <c r="X65" t="b">
        <f>IF(ISNUMBER(O65),SUM(O65,R65,U65),FALSE)</f>
        <v>0</v>
      </c>
      <c r="Y65" s="2"/>
      <c r="AC65" s="2"/>
      <c r="AF65" s="2"/>
      <c r="AI65" s="2"/>
    </row>
    <row r="66" spans="2:35" x14ac:dyDescent="0.25">
      <c r="B66" s="37">
        <v>0.55555555555555558</v>
      </c>
      <c r="C66" s="25" t="s">
        <v>54</v>
      </c>
      <c r="D66" s="25" t="str">
        <f>IFERROR(VLOOKUP(F68,$C$7:$F$13,4,FALSE),"GHF1")</f>
        <v>GHF1</v>
      </c>
      <c r="E66" s="25" t="str">
        <f>IFERROR(VLOOKUP(K68,$C$7:$F$13,4,FALSE),"GHF2")</f>
        <v>GHF2</v>
      </c>
      <c r="F66" s="128" t="str">
        <f>IF(F53&lt;6,"Platz 5 der Vorrunde",C53)</f>
        <v>Platz 5 der Vorrunde</v>
      </c>
      <c r="G66" s="128"/>
      <c r="H66" s="128"/>
      <c r="I66" s="128"/>
      <c r="J66" s="38" t="s">
        <v>44</v>
      </c>
      <c r="K66" s="128" t="str">
        <f>IF(F54&lt;6,"Platz 6 der Vorrunde",C54)</f>
        <v>Platz 6 der Vorrunde</v>
      </c>
      <c r="L66" s="128"/>
      <c r="M66" s="120"/>
      <c r="N66" s="38" t="s">
        <v>44</v>
      </c>
      <c r="O66" s="109"/>
      <c r="P66" s="45" t="s">
        <v>78</v>
      </c>
      <c r="Q66" s="46" t="s">
        <v>44</v>
      </c>
      <c r="R66" s="47" t="s">
        <v>78</v>
      </c>
      <c r="S66" s="123"/>
      <c r="T66" s="44" t="s">
        <v>44</v>
      </c>
      <c r="U66" s="124"/>
      <c r="Y66" s="2"/>
      <c r="AC66" s="2"/>
      <c r="AF66" s="2"/>
      <c r="AI66" s="2"/>
    </row>
    <row r="67" spans="2:35" x14ac:dyDescent="0.25">
      <c r="B67" s="37">
        <v>0.58333333333333337</v>
      </c>
      <c r="C67" s="25" t="s">
        <v>55</v>
      </c>
      <c r="D67" s="25" t="str">
        <f>IF(F54&lt;6,"Platz 6",VLOOKUP(C54,$C$7:$F$13,4,FALSE))</f>
        <v>Platz 6</v>
      </c>
      <c r="E67" s="25" t="str">
        <f>IF(F55&lt;6,"Platz 7",VLOOKUP(C55,$C$7:$F$13,4,FALSE))</f>
        <v>Platz 7</v>
      </c>
      <c r="F67" s="128" t="str">
        <f>IF(W63=X63,"Verlierer HF1",IF(W63&gt;X63,K63,F63))</f>
        <v>Verlierer HF1</v>
      </c>
      <c r="G67" s="128"/>
      <c r="H67" s="128"/>
      <c r="I67" s="128"/>
      <c r="J67" s="38" t="s">
        <v>44</v>
      </c>
      <c r="K67" s="128" t="str">
        <f>IF(W65=X65,"Verlierer HF2",IF(W65&gt;X65,K65,F65))</f>
        <v>Verlierer HF2</v>
      </c>
      <c r="L67" s="128"/>
      <c r="M67" s="120"/>
      <c r="N67" s="38" t="s">
        <v>44</v>
      </c>
      <c r="O67" s="109"/>
      <c r="P67" s="123" t="str">
        <f>IF(AND(ISNUMBER(AA67),ISNUMBER(AD67)),AA67+AE67+AH67,"")</f>
        <v/>
      </c>
      <c r="Q67" s="44" t="s">
        <v>44</v>
      </c>
      <c r="R67" s="124"/>
      <c r="S67" s="123"/>
      <c r="T67" s="44" t="s">
        <v>44</v>
      </c>
      <c r="U67" s="124"/>
      <c r="W67" t="b">
        <f>IF(ISNUMBER(M67),SUM(M67,P67,S67),FALSE)</f>
        <v>0</v>
      </c>
      <c r="X67" t="b">
        <f>IF(ISNUMBER(O67),SUM(O67,R67,U67),FALSE)</f>
        <v>0</v>
      </c>
      <c r="Y67" s="2"/>
      <c r="AC67" s="2"/>
      <c r="AF67" s="2"/>
      <c r="AI67" s="2"/>
    </row>
    <row r="68" spans="2:35" x14ac:dyDescent="0.25">
      <c r="B68" s="37">
        <v>0.61458333333333337</v>
      </c>
      <c r="C68" s="25" t="s">
        <v>57</v>
      </c>
      <c r="D68" s="25" t="str">
        <f>IFERROR(VLOOKUP(F67,$C$7:$F$13,4,FALSE),"VHF1")</f>
        <v>VHF1</v>
      </c>
      <c r="E68" s="25" t="str">
        <f>IFERROR(VLOOKUP(K67,$C$7:$F$13,4,FALSE),"VHF2")</f>
        <v>VHF2</v>
      </c>
      <c r="F68" s="128" t="str">
        <f>IF(W63=X63,"Gewinner HF1",IF(W63&gt;X63,F63,K63))</f>
        <v>Gewinner HF1</v>
      </c>
      <c r="G68" s="128"/>
      <c r="H68" s="128"/>
      <c r="I68" s="128"/>
      <c r="J68" s="38" t="s">
        <v>44</v>
      </c>
      <c r="K68" s="128" t="str">
        <f>IF(W65=X65,"Gewinner HF2",IF(W65&gt;X65,F65,K65))</f>
        <v>Gewinner HF2</v>
      </c>
      <c r="L68" s="128"/>
      <c r="M68" s="120"/>
      <c r="N68" s="38" t="s">
        <v>44</v>
      </c>
      <c r="O68" s="109"/>
      <c r="P68" s="125" t="str">
        <f>IF(AND(ISNUMBER(AA68),ISNUMBER(AD68)),AA68+AE68+AH68,"")</f>
        <v/>
      </c>
      <c r="Q68" s="48" t="s">
        <v>44</v>
      </c>
      <c r="R68" s="126"/>
      <c r="S68" s="125"/>
      <c r="T68" s="48" t="s">
        <v>44</v>
      </c>
      <c r="U68" s="126"/>
      <c r="W68" t="b">
        <f>IF(ISNUMBER(M68),SUM(M68,P68,S68),FALSE)</f>
        <v>0</v>
      </c>
      <c r="X68" t="b">
        <f>IF(ISNUMBER(O68),SUM(O68,R68,U68),FALSE)</f>
        <v>0</v>
      </c>
      <c r="Y68" s="2"/>
      <c r="AC68" s="2"/>
      <c r="AF68" s="2"/>
      <c r="AI68" s="2"/>
    </row>
    <row r="69" spans="2:35" x14ac:dyDescent="0.25">
      <c r="B69" s="3"/>
    </row>
    <row r="70" spans="2:35" x14ac:dyDescent="0.25">
      <c r="B70" s="20" t="s">
        <v>92</v>
      </c>
      <c r="C70" s="16"/>
      <c r="D70" s="16"/>
      <c r="E70" s="16"/>
      <c r="F70" s="16"/>
      <c r="G70" s="16"/>
      <c r="H70" s="16"/>
      <c r="I70" s="16"/>
      <c r="J70" s="16"/>
      <c r="K70" s="17"/>
    </row>
    <row r="71" spans="2:35" x14ac:dyDescent="0.25">
      <c r="B71" s="29" t="s">
        <v>87</v>
      </c>
      <c r="C71" s="30" t="s">
        <v>53</v>
      </c>
      <c r="D71" s="31"/>
      <c r="E71" s="31"/>
      <c r="F71" s="28" t="s">
        <v>86</v>
      </c>
      <c r="G71" s="28" t="s">
        <v>81</v>
      </c>
      <c r="H71" s="28" t="s">
        <v>82</v>
      </c>
      <c r="I71" s="28" t="s">
        <v>83</v>
      </c>
      <c r="J71" s="146" t="s">
        <v>84</v>
      </c>
      <c r="K71" s="147"/>
    </row>
    <row r="72" spans="2:35" x14ac:dyDescent="0.25">
      <c r="B72" s="11">
        <v>1</v>
      </c>
      <c r="C72" s="128" t="str">
        <f>IFERROR(VLOOKUP(B72,Rechner!$Y$30:$AA$32,3,FALSE),"")</f>
        <v/>
      </c>
      <c r="D72" s="128"/>
      <c r="E72" s="128"/>
      <c r="F72" s="39" t="str">
        <f>IFERROR(VLOOKUP($C72,Rechner!$AA$30:$AF$32,COLUMN()-4,FALSE),"")</f>
        <v/>
      </c>
      <c r="G72" s="39" t="str">
        <f>IFERROR(VLOOKUP($C72,Rechner!$AA$30:$AF$32,COLUMN()-4,FALSE),"")</f>
        <v/>
      </c>
      <c r="H72" s="39" t="str">
        <f>IFERROR(VLOOKUP($C72,Rechner!$AA$30:$AF$32,COLUMN()-4,FALSE),"")</f>
        <v/>
      </c>
      <c r="I72" s="39" t="str">
        <f>IFERROR(VLOOKUP($C72,Rechner!$AA$30:$AF$32,COLUMN()-4,FALSE),"")</f>
        <v/>
      </c>
      <c r="J72" s="151" t="str">
        <f>IFERROR(VLOOKUP($C72,Rechner!$AA$30:$AF$32,COLUMN()-4,FALSE),"")</f>
        <v/>
      </c>
      <c r="K72" s="152"/>
    </row>
    <row r="73" spans="2:35" x14ac:dyDescent="0.25">
      <c r="B73" s="11">
        <v>2</v>
      </c>
      <c r="C73" s="128" t="str">
        <f>IFERROR(VLOOKUP(B73,Rechner!$Y$30:$AA$32,3,FALSE),"")</f>
        <v/>
      </c>
      <c r="D73" s="128"/>
      <c r="E73" s="128"/>
      <c r="F73" s="39" t="str">
        <f>IFERROR(VLOOKUP($C73,Rechner!$AA$30:$AF$32,COLUMN()-4,FALSE),"")</f>
        <v/>
      </c>
      <c r="G73" s="39" t="str">
        <f>IFERROR(VLOOKUP($C73,Rechner!$AA$30:$AF$32,COLUMN()-4,FALSE),"")</f>
        <v/>
      </c>
      <c r="H73" s="39" t="str">
        <f>IFERROR(VLOOKUP($C73,Rechner!$AA$30:$AF$32,COLUMN()-4,FALSE),"")</f>
        <v/>
      </c>
      <c r="I73" s="39" t="str">
        <f>IFERROR(VLOOKUP($C73,Rechner!$AA$30:$AF$32,COLUMN()-4,FALSE),"")</f>
        <v/>
      </c>
      <c r="J73" s="151" t="str">
        <f>IFERROR(VLOOKUP($C73,Rechner!$AA$30:$AF$32,COLUMN()-4,FALSE),"")</f>
        <v/>
      </c>
      <c r="K73" s="152"/>
    </row>
    <row r="74" spans="2:35" x14ac:dyDescent="0.25">
      <c r="B74" s="11">
        <v>3</v>
      </c>
      <c r="C74" s="128" t="str">
        <f>IFERROR(VLOOKUP(B74,Rechner!$Y$30:$AA$32,3,FALSE),"")</f>
        <v/>
      </c>
      <c r="D74" s="128"/>
      <c r="E74" s="128"/>
      <c r="F74" s="39" t="str">
        <f>IFERROR(VLOOKUP($C74,Rechner!$AA$30:$AF$32,COLUMN()-4,FALSE),"")</f>
        <v/>
      </c>
      <c r="G74" s="39" t="str">
        <f>IFERROR(VLOOKUP($C74,Rechner!$AA$30:$AF$32,COLUMN()-4,FALSE),"")</f>
        <v/>
      </c>
      <c r="H74" s="39" t="str">
        <f>IFERROR(VLOOKUP($C74,Rechner!$AA$30:$AF$32,COLUMN()-4,FALSE),"")</f>
        <v/>
      </c>
      <c r="I74" s="39" t="str">
        <f>IFERROR(VLOOKUP($C74,Rechner!$AA$30:$AF$32,COLUMN()-4,FALSE),"")</f>
        <v/>
      </c>
      <c r="J74" s="151" t="str">
        <f>IFERROR(VLOOKUP($C74,Rechner!$AA$30:$AF$32,COLUMN()-4,FALSE),"")</f>
        <v/>
      </c>
      <c r="K74" s="152"/>
    </row>
    <row r="75" spans="2:35" x14ac:dyDescent="0.25">
      <c r="B75" s="6" t="b">
        <f>Rechner!$AA$33</f>
        <v>0</v>
      </c>
      <c r="C75" s="8" t="str">
        <f>IF(B75,"Es liegen mindestens ein direkter Vergleich vor. Bitte löse diese mit Hilfe der Dropdowns.","")</f>
        <v/>
      </c>
    </row>
    <row r="76" spans="2:35" x14ac:dyDescent="0.25">
      <c r="B76" s="6"/>
      <c r="C76" s="8"/>
    </row>
    <row r="77" spans="2:35" x14ac:dyDescent="0.25">
      <c r="B77" s="6"/>
      <c r="C77" s="8"/>
    </row>
    <row r="78" spans="2:35" x14ac:dyDescent="0.25">
      <c r="B78" s="154" t="s">
        <v>93</v>
      </c>
      <c r="C78" s="155"/>
      <c r="D78" s="155"/>
      <c r="E78" s="155"/>
      <c r="F78" s="155"/>
      <c r="G78" s="155"/>
      <c r="H78" s="155"/>
      <c r="I78" s="155"/>
      <c r="J78" s="155"/>
      <c r="K78" s="156"/>
    </row>
    <row r="79" spans="2:35" x14ac:dyDescent="0.25">
      <c r="B79" s="49" t="s">
        <v>87</v>
      </c>
      <c r="C79" s="36" t="s">
        <v>53</v>
      </c>
      <c r="D79" s="36"/>
      <c r="E79" s="36"/>
      <c r="F79" s="36"/>
      <c r="G79" s="36"/>
      <c r="H79" s="36"/>
      <c r="I79" s="36"/>
      <c r="J79" s="36"/>
      <c r="K79" s="50"/>
    </row>
    <row r="80" spans="2:35" x14ac:dyDescent="0.25">
      <c r="B80" s="11">
        <v>1</v>
      </c>
      <c r="C80" s="128" t="str">
        <f>IF(W68=X68,"Gewinner Spiel um Platz 1",IF(W68&gt;X68,F68,K68))</f>
        <v>Gewinner Spiel um Platz 1</v>
      </c>
      <c r="D80" s="128"/>
      <c r="E80" s="128"/>
      <c r="F80" s="128"/>
      <c r="G80" s="128"/>
      <c r="H80" s="128"/>
      <c r="I80" s="128"/>
      <c r="J80" s="128"/>
      <c r="K80" s="153"/>
    </row>
    <row r="81" spans="2:11" x14ac:dyDescent="0.25">
      <c r="B81" s="11">
        <v>2</v>
      </c>
      <c r="C81" s="128" t="str">
        <f>IF(W68=X68,"Verlierer Spiel um Platz 1",IF(W68&gt;X68,K68,F68))</f>
        <v>Verlierer Spiel um Platz 1</v>
      </c>
      <c r="D81" s="128"/>
      <c r="E81" s="128"/>
      <c r="F81" s="128"/>
      <c r="G81" s="128"/>
      <c r="H81" s="128"/>
      <c r="I81" s="128"/>
      <c r="J81" s="128"/>
      <c r="K81" s="153"/>
    </row>
    <row r="82" spans="2:11" x14ac:dyDescent="0.25">
      <c r="B82" s="11">
        <v>3</v>
      </c>
      <c r="C82" s="128" t="str">
        <f>IF(W67=X67,"Gewinner Spiel um Platz 3",IF(W67&gt;X67,F67,K67))</f>
        <v>Gewinner Spiel um Platz 3</v>
      </c>
      <c r="D82" s="128"/>
      <c r="E82" s="128"/>
      <c r="F82" s="128"/>
      <c r="G82" s="128"/>
      <c r="H82" s="128"/>
      <c r="I82" s="128"/>
      <c r="J82" s="128"/>
      <c r="K82" s="153"/>
    </row>
    <row r="83" spans="2:11" x14ac:dyDescent="0.25">
      <c r="B83" s="11">
        <v>4</v>
      </c>
      <c r="C83" s="128" t="str">
        <f>IF(W67=X67,"Verlierer Spiel um Platz 3",IF(W67&gt;X67,K67,F67))</f>
        <v>Verlierer Spiel um Platz 3</v>
      </c>
      <c r="D83" s="128"/>
      <c r="E83" s="128"/>
      <c r="F83" s="128"/>
      <c r="G83" s="128"/>
      <c r="H83" s="128"/>
      <c r="I83" s="128"/>
      <c r="J83" s="128"/>
      <c r="K83" s="153"/>
    </row>
    <row r="84" spans="2:11" x14ac:dyDescent="0.25">
      <c r="B84" s="11">
        <v>5</v>
      </c>
      <c r="C84" s="128" t="str">
        <f>IF(SUM($F$72:$F$74)=6,VLOOKUP($B84-4,$B$72:$E$74,COLUMN()-1,FALSE),"Platz 1 der Gruppe um Platz 5")</f>
        <v>Platz 1 der Gruppe um Platz 5</v>
      </c>
      <c r="D84" s="128"/>
      <c r="E84" s="128"/>
      <c r="F84" s="128"/>
      <c r="G84" s="128"/>
      <c r="H84" s="128"/>
      <c r="I84" s="128"/>
      <c r="J84" s="128"/>
      <c r="K84" s="153"/>
    </row>
    <row r="85" spans="2:11" x14ac:dyDescent="0.25">
      <c r="B85" s="11">
        <v>6</v>
      </c>
      <c r="C85" s="128" t="str">
        <f>IF(SUM($F$72:$F$74)=6,VLOOKUP($B85-4,$B$72:$E$74,COLUMN()-1,FALSE),"Platz 2 der Gruppe um Platz 5")</f>
        <v>Platz 2 der Gruppe um Platz 5</v>
      </c>
      <c r="D85" s="128"/>
      <c r="E85" s="128"/>
      <c r="F85" s="128"/>
      <c r="G85" s="128"/>
      <c r="H85" s="128"/>
      <c r="I85" s="128"/>
      <c r="J85" s="128"/>
      <c r="K85" s="153"/>
    </row>
    <row r="86" spans="2:11" x14ac:dyDescent="0.25">
      <c r="B86" s="11">
        <v>7</v>
      </c>
      <c r="C86" s="128" t="str">
        <f>IF(SUM($F$72:$F$74)=6,VLOOKUP($B86-4,$B$72:$E$74,COLUMN()-1,FALSE),"Platz 3 der Gruppe um Platz 5")</f>
        <v>Platz 3 der Gruppe um Platz 5</v>
      </c>
      <c r="D86" s="128"/>
      <c r="E86" s="128"/>
      <c r="F86" s="128"/>
      <c r="G86" s="128"/>
      <c r="H86" s="128"/>
      <c r="I86" s="128"/>
      <c r="J86" s="128"/>
      <c r="K86" s="153"/>
    </row>
  </sheetData>
  <mergeCells count="114">
    <mergeCell ref="AA61:AD61"/>
    <mergeCell ref="AE61:AG61"/>
    <mergeCell ref="AH61:AJ61"/>
    <mergeCell ref="F25:I25"/>
    <mergeCell ref="F26:I26"/>
    <mergeCell ref="F27:I27"/>
    <mergeCell ref="F28:I28"/>
    <mergeCell ref="F33:I33"/>
    <mergeCell ref="F34:I34"/>
    <mergeCell ref="M61:O61"/>
    <mergeCell ref="P61:R61"/>
    <mergeCell ref="S61:U61"/>
    <mergeCell ref="F61:I61"/>
    <mergeCell ref="K32:L32"/>
    <mergeCell ref="C54:E54"/>
    <mergeCell ref="C55:E55"/>
    <mergeCell ref="F17:I17"/>
    <mergeCell ref="F18:I18"/>
    <mergeCell ref="F19:I19"/>
    <mergeCell ref="F20:I20"/>
    <mergeCell ref="F21:I21"/>
    <mergeCell ref="F22:I22"/>
    <mergeCell ref="F23:I23"/>
    <mergeCell ref="F24:I24"/>
    <mergeCell ref="C49:E49"/>
    <mergeCell ref="C50:E50"/>
    <mergeCell ref="C51:E51"/>
    <mergeCell ref="C52:E52"/>
    <mergeCell ref="C53:E53"/>
    <mergeCell ref="F29:I29"/>
    <mergeCell ref="F30:I30"/>
    <mergeCell ref="F31:I31"/>
    <mergeCell ref="F32:I32"/>
    <mergeCell ref="B39:U39"/>
    <mergeCell ref="M41:O42"/>
    <mergeCell ref="P41:R42"/>
    <mergeCell ref="D42:E42"/>
    <mergeCell ref="F42:I42"/>
    <mergeCell ref="J71:K71"/>
    <mergeCell ref="C72:E72"/>
    <mergeCell ref="F66:I66"/>
    <mergeCell ref="F67:I67"/>
    <mergeCell ref="F68:I68"/>
    <mergeCell ref="K62:L62"/>
    <mergeCell ref="K63:L63"/>
    <mergeCell ref="K64:L64"/>
    <mergeCell ref="K65:L65"/>
    <mergeCell ref="K66:L66"/>
    <mergeCell ref="K67:L67"/>
    <mergeCell ref="F62:I62"/>
    <mergeCell ref="F63:I63"/>
    <mergeCell ref="F64:I64"/>
    <mergeCell ref="F65:I65"/>
    <mergeCell ref="D61:E61"/>
    <mergeCell ref="C73:E73"/>
    <mergeCell ref="C74:E74"/>
    <mergeCell ref="J72:K72"/>
    <mergeCell ref="J73:K73"/>
    <mergeCell ref="J74:K74"/>
    <mergeCell ref="C7:E7"/>
    <mergeCell ref="C8:E8"/>
    <mergeCell ref="C9:E9"/>
    <mergeCell ref="C10:E10"/>
    <mergeCell ref="C11:E11"/>
    <mergeCell ref="K68:L68"/>
    <mergeCell ref="F16:I16"/>
    <mergeCell ref="J51:K51"/>
    <mergeCell ref="J52:K52"/>
    <mergeCell ref="J53:K53"/>
    <mergeCell ref="J54:K54"/>
    <mergeCell ref="J55:K55"/>
    <mergeCell ref="F43:I43"/>
    <mergeCell ref="F44:I44"/>
    <mergeCell ref="F45:I45"/>
    <mergeCell ref="J48:K48"/>
    <mergeCell ref="J49:K49"/>
    <mergeCell ref="J50:K50"/>
    <mergeCell ref="K21:L21"/>
    <mergeCell ref="K22:L22"/>
    <mergeCell ref="K23:L23"/>
    <mergeCell ref="K24:L24"/>
    <mergeCell ref="K25:L25"/>
    <mergeCell ref="K26:L26"/>
    <mergeCell ref="C12:E12"/>
    <mergeCell ref="C13:E13"/>
    <mergeCell ref="K17:L17"/>
    <mergeCell ref="K18:L18"/>
    <mergeCell ref="K19:L19"/>
    <mergeCell ref="K20:L20"/>
    <mergeCell ref="D16:E16"/>
    <mergeCell ref="C86:K86"/>
    <mergeCell ref="B2:U2"/>
    <mergeCell ref="B4:U4"/>
    <mergeCell ref="M15:O16"/>
    <mergeCell ref="P15:R16"/>
    <mergeCell ref="B37:U37"/>
    <mergeCell ref="B58:U58"/>
    <mergeCell ref="C80:K80"/>
    <mergeCell ref="C81:K81"/>
    <mergeCell ref="C82:K82"/>
    <mergeCell ref="C83:K83"/>
    <mergeCell ref="C84:K84"/>
    <mergeCell ref="C85:K85"/>
    <mergeCell ref="K33:L33"/>
    <mergeCell ref="K34:L34"/>
    <mergeCell ref="K43:L43"/>
    <mergeCell ref="K44:L44"/>
    <mergeCell ref="K45:L45"/>
    <mergeCell ref="B78:K78"/>
    <mergeCell ref="K27:L27"/>
    <mergeCell ref="K28:L28"/>
    <mergeCell ref="K29:L29"/>
    <mergeCell ref="K30:L30"/>
    <mergeCell ref="K31:L31"/>
  </mergeCells>
  <phoneticPr fontId="3" type="noConversion"/>
  <dataValidations count="2">
    <dataValidation type="list" allowBlank="1" showInputMessage="1" showErrorMessage="1" sqref="C49:C55" xr:uid="{4463E948-896C-4F80-91B8-9E63D800E5CD}">
      <formula1>$C$7:$C$13</formula1>
    </dataValidation>
    <dataValidation type="list" allowBlank="1" showInputMessage="1" showErrorMessage="1" sqref="C72:C74" xr:uid="{40966865-7A12-461F-ACE8-B92CC6F98E2C}">
      <formula1>$C$53:$C$55</formula1>
    </dataValidation>
  </dataValidations>
  <pageMargins left="0.7" right="0.7" top="0.78740157499999996" bottom="0.78740157499999996" header="0.3" footer="0.3"/>
  <pageSetup paperSize="9" scale="63" orientation="portrait" r:id="rId1"/>
  <rowBreaks count="2" manualBreakCount="2">
    <brk id="35" max="16383" man="1"/>
    <brk id="56" max="16383" man="1"/>
  </rowBreaks>
  <colBreaks count="1" manualBreakCount="1">
    <brk id="2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AE45-2C05-4F97-9EBC-C4B385392B39}">
  <dimension ref="A2:R75"/>
  <sheetViews>
    <sheetView showGridLines="0" workbookViewId="0">
      <selection activeCell="C20" sqref="C20"/>
    </sheetView>
  </sheetViews>
  <sheetFormatPr baseColWidth="10" defaultRowHeight="15" x14ac:dyDescent="0.25"/>
  <cols>
    <col min="2" max="2" width="13" customWidth="1"/>
    <col min="3" max="3" width="21.5703125" bestFit="1" customWidth="1"/>
    <col min="13" max="13" width="11.42578125" customWidth="1"/>
  </cols>
  <sheetData>
    <row r="2" spans="1:18" x14ac:dyDescent="0.25">
      <c r="B2" s="103" t="s">
        <v>143</v>
      </c>
      <c r="C2" s="108" t="s">
        <v>126</v>
      </c>
      <c r="E2" s="6" t="s">
        <v>128</v>
      </c>
      <c r="F2" s="6" t="s">
        <v>126</v>
      </c>
    </row>
    <row r="4" spans="1:18" x14ac:dyDescent="0.25">
      <c r="A4" s="103"/>
      <c r="B4" s="9" t="s">
        <v>58</v>
      </c>
      <c r="C4" s="9"/>
      <c r="D4" s="9"/>
      <c r="E4" s="9"/>
      <c r="F4" s="9"/>
      <c r="G4" s="9"/>
      <c r="H4" s="9"/>
      <c r="I4" s="10"/>
      <c r="K4" s="15" t="s">
        <v>125</v>
      </c>
      <c r="L4" s="81"/>
      <c r="M4" s="81"/>
      <c r="N4" s="81"/>
      <c r="O4" s="81"/>
      <c r="P4" s="81"/>
      <c r="Q4" s="81"/>
      <c r="R4" s="82"/>
    </row>
    <row r="5" spans="1:18" x14ac:dyDescent="0.25">
      <c r="K5" s="106" t="s">
        <v>139</v>
      </c>
    </row>
    <row r="6" spans="1:18" x14ac:dyDescent="0.25">
      <c r="B6" s="103" t="s">
        <v>63</v>
      </c>
      <c r="C6" s="105" t="s">
        <v>1</v>
      </c>
      <c r="E6" s="6" t="str">
        <f>ADDRESS(48,25,1,1,IF($C$2="Tippspiel","Tippspiel_Rechner","Rechner"))&amp;":"&amp;ADDRESS(49,33,1,1)</f>
        <v>Tippspiel_Rechner!$Y$48:$AG$49</v>
      </c>
      <c r="K6" s="107" t="s">
        <v>140</v>
      </c>
    </row>
    <row r="7" spans="1:18" x14ac:dyDescent="0.25">
      <c r="B7" s="103" t="s">
        <v>14</v>
      </c>
      <c r="C7" s="105"/>
      <c r="K7" s="106" t="s">
        <v>141</v>
      </c>
    </row>
    <row r="8" spans="1:18" x14ac:dyDescent="0.25">
      <c r="B8" s="103" t="s">
        <v>15</v>
      </c>
      <c r="C8" s="105"/>
      <c r="K8" s="107" t="s">
        <v>134</v>
      </c>
    </row>
    <row r="9" spans="1:18" x14ac:dyDescent="0.25">
      <c r="K9" s="106" t="s">
        <v>142</v>
      </c>
    </row>
    <row r="10" spans="1:18" x14ac:dyDescent="0.25">
      <c r="B10" s="104" t="s">
        <v>62</v>
      </c>
      <c r="C10" s="18" t="s">
        <v>53</v>
      </c>
      <c r="D10" s="18" t="s">
        <v>45</v>
      </c>
      <c r="E10" s="18" t="s">
        <v>46</v>
      </c>
      <c r="F10" s="18" t="s">
        <v>47</v>
      </c>
      <c r="G10" s="18" t="s">
        <v>61</v>
      </c>
      <c r="H10" s="19" t="s">
        <v>51</v>
      </c>
      <c r="K10" s="106" t="s">
        <v>137</v>
      </c>
    </row>
    <row r="11" spans="1:18" x14ac:dyDescent="0.25">
      <c r="B11" s="57">
        <v>1</v>
      </c>
      <c r="C11" s="39" t="str">
        <f ca="1">IFERROR(VLOOKUP($B11,INDIRECT($E$6),COLUMN(),FALSE),"")</f>
        <v/>
      </c>
      <c r="D11" s="39" t="str">
        <f t="shared" ref="D11:H12" ca="1" si="0">IFERROR(VLOOKUP($B11,INDIRECT($E$6),COLUMN(),FALSE),"")</f>
        <v/>
      </c>
      <c r="E11" s="39" t="str">
        <f t="shared" ca="1" si="0"/>
        <v/>
      </c>
      <c r="F11" s="39" t="str">
        <f t="shared" ca="1" si="0"/>
        <v/>
      </c>
      <c r="G11" s="39" t="str">
        <f t="shared" ca="1" si="0"/>
        <v/>
      </c>
      <c r="H11" s="58" t="str">
        <f t="shared" ca="1" si="0"/>
        <v/>
      </c>
      <c r="K11" s="107" t="s">
        <v>135</v>
      </c>
    </row>
    <row r="12" spans="1:18" x14ac:dyDescent="0.25">
      <c r="B12" s="57">
        <v>2</v>
      </c>
      <c r="C12" s="39" t="str">
        <f t="shared" ref="C12" ca="1" si="1">IFERROR(VLOOKUP($B12,INDIRECT($E$6),COLUMN(),FALSE),"")</f>
        <v/>
      </c>
      <c r="D12" s="39" t="str">
        <f t="shared" ca="1" si="0"/>
        <v/>
      </c>
      <c r="E12" s="39" t="str">
        <f t="shared" ca="1" si="0"/>
        <v/>
      </c>
      <c r="F12" s="39" t="str">
        <f t="shared" ca="1" si="0"/>
        <v/>
      </c>
      <c r="G12" s="39" t="str">
        <f t="shared" ca="1" si="0"/>
        <v/>
      </c>
      <c r="H12" s="58" t="str">
        <f t="shared" ca="1" si="0"/>
        <v/>
      </c>
      <c r="K12" s="106" t="s">
        <v>138</v>
      </c>
    </row>
    <row r="13" spans="1:18" x14ac:dyDescent="0.25">
      <c r="K13" s="107" t="s">
        <v>136</v>
      </c>
    </row>
    <row r="15" spans="1:18" x14ac:dyDescent="0.25">
      <c r="A15" s="103"/>
      <c r="B15" s="9" t="s">
        <v>65</v>
      </c>
      <c r="C15" s="9"/>
      <c r="D15" s="9"/>
      <c r="E15" s="9"/>
      <c r="F15" s="9"/>
      <c r="G15" s="9"/>
      <c r="H15" s="9"/>
      <c r="I15" s="10"/>
      <c r="K15" s="6" t="s">
        <v>1</v>
      </c>
    </row>
    <row r="16" spans="1:18" x14ac:dyDescent="0.25">
      <c r="K16" s="6" t="s">
        <v>89</v>
      </c>
    </row>
    <row r="17" spans="1:9" x14ac:dyDescent="0.25">
      <c r="B17" s="103" t="s">
        <v>63</v>
      </c>
      <c r="C17" s="105" t="s">
        <v>1</v>
      </c>
      <c r="E17" s="6" t="str">
        <f>ADDRESS(65,25,1,1,IF($C$2="Tippspiel","Tippspiel_Rechner","Rechner"))&amp;":"&amp;ADDRESS(67,33,1,1)</f>
        <v>Tippspiel_Rechner!$Y$65:$AG$67</v>
      </c>
    </row>
    <row r="18" spans="1:9" x14ac:dyDescent="0.25">
      <c r="B18" s="103" t="s">
        <v>14</v>
      </c>
      <c r="C18" s="105"/>
    </row>
    <row r="19" spans="1:9" x14ac:dyDescent="0.25">
      <c r="B19" s="103" t="s">
        <v>15</v>
      </c>
      <c r="C19" s="105"/>
    </row>
    <row r="20" spans="1:9" x14ac:dyDescent="0.25">
      <c r="B20" s="103" t="s">
        <v>66</v>
      </c>
      <c r="C20" s="105"/>
    </row>
    <row r="22" spans="1:9" x14ac:dyDescent="0.25">
      <c r="B22" s="103" t="s">
        <v>62</v>
      </c>
      <c r="C22" s="9" t="s">
        <v>53</v>
      </c>
      <c r="D22" s="9" t="s">
        <v>45</v>
      </c>
      <c r="E22" s="9" t="s">
        <v>46</v>
      </c>
      <c r="F22" s="9" t="s">
        <v>47</v>
      </c>
      <c r="G22" s="9" t="s">
        <v>61</v>
      </c>
      <c r="H22" s="10" t="s">
        <v>51</v>
      </c>
    </row>
    <row r="23" spans="1:9" x14ac:dyDescent="0.25">
      <c r="B23" s="57">
        <v>1</v>
      </c>
      <c r="C23" s="39" t="str">
        <f ca="1">IFERROR(VLOOKUP($B23,INDIRECT($E$17),COLUMN(),FALSE),"")</f>
        <v/>
      </c>
      <c r="D23" s="39" t="str">
        <f t="shared" ref="D23:H25" ca="1" si="2">IFERROR(VLOOKUP($B23,INDIRECT($E$17),COLUMN(),FALSE),"")</f>
        <v/>
      </c>
      <c r="E23" s="39" t="str">
        <f t="shared" ca="1" si="2"/>
        <v/>
      </c>
      <c r="F23" s="39" t="str">
        <f t="shared" ca="1" si="2"/>
        <v/>
      </c>
      <c r="G23" s="39" t="str">
        <f t="shared" ca="1" si="2"/>
        <v/>
      </c>
      <c r="H23" s="58" t="str">
        <f t="shared" ca="1" si="2"/>
        <v/>
      </c>
    </row>
    <row r="24" spans="1:9" x14ac:dyDescent="0.25">
      <c r="B24" s="57">
        <v>2</v>
      </c>
      <c r="C24" s="39" t="str">
        <f t="shared" ref="C24:C25" ca="1" si="3">IFERROR(VLOOKUP($B24,INDIRECT($E$17),COLUMN(),FALSE),"")</f>
        <v/>
      </c>
      <c r="D24" s="39" t="str">
        <f t="shared" ca="1" si="2"/>
        <v/>
      </c>
      <c r="E24" s="39" t="str">
        <f t="shared" ca="1" si="2"/>
        <v/>
      </c>
      <c r="F24" s="39" t="str">
        <f t="shared" ca="1" si="2"/>
        <v/>
      </c>
      <c r="G24" s="39" t="str">
        <f t="shared" ca="1" si="2"/>
        <v/>
      </c>
      <c r="H24" s="58" t="str">
        <f t="shared" ca="1" si="2"/>
        <v/>
      </c>
    </row>
    <row r="25" spans="1:9" x14ac:dyDescent="0.25">
      <c r="B25" s="57">
        <v>3</v>
      </c>
      <c r="C25" s="39" t="str">
        <f t="shared" ca="1" si="3"/>
        <v/>
      </c>
      <c r="D25" s="39" t="str">
        <f t="shared" ca="1" si="2"/>
        <v/>
      </c>
      <c r="E25" s="39" t="str">
        <f t="shared" ca="1" si="2"/>
        <v/>
      </c>
      <c r="F25" s="39" t="str">
        <f t="shared" ca="1" si="2"/>
        <v/>
      </c>
      <c r="G25" s="39" t="str">
        <f t="shared" ca="1" si="2"/>
        <v/>
      </c>
      <c r="H25" s="58" t="str">
        <f t="shared" ca="1" si="2"/>
        <v/>
      </c>
    </row>
    <row r="28" spans="1:9" x14ac:dyDescent="0.25">
      <c r="A28" s="103"/>
      <c r="B28" s="9" t="s">
        <v>68</v>
      </c>
      <c r="C28" s="9"/>
      <c r="D28" s="9"/>
      <c r="E28" s="9"/>
      <c r="F28" s="9"/>
      <c r="G28" s="9"/>
      <c r="H28" s="9"/>
      <c r="I28" s="10"/>
    </row>
    <row r="30" spans="1:9" x14ac:dyDescent="0.25">
      <c r="B30" s="103" t="s">
        <v>63</v>
      </c>
      <c r="C30" s="105" t="s">
        <v>1</v>
      </c>
      <c r="E30" s="6" t="str">
        <f>ADDRESS(83,25,1,1,IF($C$2="Tippspiel","Tippspiel_Rechner","Rechner"))&amp;":"&amp;ADDRESS(86,33,1,1)</f>
        <v>Tippspiel_Rechner!$Y$83:$AG$86</v>
      </c>
    </row>
    <row r="31" spans="1:9" x14ac:dyDescent="0.25">
      <c r="B31" s="103" t="s">
        <v>14</v>
      </c>
      <c r="C31" s="105"/>
    </row>
    <row r="32" spans="1:9" x14ac:dyDescent="0.25">
      <c r="B32" s="103" t="s">
        <v>15</v>
      </c>
      <c r="C32" s="105"/>
    </row>
    <row r="33" spans="1:9" x14ac:dyDescent="0.25">
      <c r="B33" s="103" t="s">
        <v>66</v>
      </c>
      <c r="C33" s="105"/>
    </row>
    <row r="34" spans="1:9" x14ac:dyDescent="0.25">
      <c r="B34" s="103" t="s">
        <v>69</v>
      </c>
      <c r="C34" s="105"/>
    </row>
    <row r="36" spans="1:9" x14ac:dyDescent="0.25">
      <c r="B36" s="103" t="s">
        <v>62</v>
      </c>
      <c r="C36" s="9" t="s">
        <v>53</v>
      </c>
      <c r="D36" s="9" t="s">
        <v>45</v>
      </c>
      <c r="E36" s="9" t="s">
        <v>46</v>
      </c>
      <c r="F36" s="9" t="s">
        <v>47</v>
      </c>
      <c r="G36" s="9" t="s">
        <v>61</v>
      </c>
      <c r="H36" s="10" t="s">
        <v>51</v>
      </c>
    </row>
    <row r="37" spans="1:9" x14ac:dyDescent="0.25">
      <c r="B37" s="57">
        <v>1</v>
      </c>
      <c r="C37" s="39" t="str">
        <f ca="1">IFERROR(VLOOKUP($B37,INDIRECT($E$30),COLUMN(),FALSE),"")</f>
        <v/>
      </c>
      <c r="D37" s="39" t="str">
        <f t="shared" ref="D37:H40" ca="1" si="4">IFERROR(VLOOKUP($B37,INDIRECT($E$30),COLUMN(),FALSE),"")</f>
        <v/>
      </c>
      <c r="E37" s="39" t="str">
        <f t="shared" ca="1" si="4"/>
        <v/>
      </c>
      <c r="F37" s="39" t="str">
        <f t="shared" ca="1" si="4"/>
        <v/>
      </c>
      <c r="G37" s="39" t="str">
        <f t="shared" ca="1" si="4"/>
        <v/>
      </c>
      <c r="H37" s="58" t="str">
        <f t="shared" ca="1" si="4"/>
        <v/>
      </c>
    </row>
    <row r="38" spans="1:9" x14ac:dyDescent="0.25">
      <c r="B38" s="57">
        <v>2</v>
      </c>
      <c r="C38" s="39" t="str">
        <f t="shared" ref="C38:C40" ca="1" si="5">IFERROR(VLOOKUP($B38,INDIRECT($E$30),COLUMN(),FALSE),"")</f>
        <v/>
      </c>
      <c r="D38" s="39" t="str">
        <f t="shared" ca="1" si="4"/>
        <v/>
      </c>
      <c r="E38" s="39" t="str">
        <f t="shared" ca="1" si="4"/>
        <v/>
      </c>
      <c r="F38" s="39" t="str">
        <f t="shared" ca="1" si="4"/>
        <v/>
      </c>
      <c r="G38" s="39" t="str">
        <f t="shared" ca="1" si="4"/>
        <v/>
      </c>
      <c r="H38" s="58" t="str">
        <f t="shared" ca="1" si="4"/>
        <v/>
      </c>
    </row>
    <row r="39" spans="1:9" x14ac:dyDescent="0.25">
      <c r="B39" s="57">
        <v>3</v>
      </c>
      <c r="C39" s="39" t="str">
        <f t="shared" ca="1" si="5"/>
        <v/>
      </c>
      <c r="D39" s="39" t="str">
        <f t="shared" ca="1" si="4"/>
        <v/>
      </c>
      <c r="E39" s="39" t="str">
        <f t="shared" ca="1" si="4"/>
        <v/>
      </c>
      <c r="F39" s="39" t="str">
        <f t="shared" ca="1" si="4"/>
        <v/>
      </c>
      <c r="G39" s="39" t="str">
        <f t="shared" ca="1" si="4"/>
        <v/>
      </c>
      <c r="H39" s="58" t="str">
        <f t="shared" ca="1" si="4"/>
        <v/>
      </c>
    </row>
    <row r="40" spans="1:9" x14ac:dyDescent="0.25">
      <c r="B40" s="57">
        <v>4</v>
      </c>
      <c r="C40" s="39" t="str">
        <f t="shared" ca="1" si="5"/>
        <v/>
      </c>
      <c r="D40" s="39" t="str">
        <f t="shared" ca="1" si="4"/>
        <v/>
      </c>
      <c r="E40" s="39" t="str">
        <f t="shared" ca="1" si="4"/>
        <v/>
      </c>
      <c r="F40" s="39" t="str">
        <f t="shared" ca="1" si="4"/>
        <v/>
      </c>
      <c r="G40" s="39" t="str">
        <f t="shared" ca="1" si="4"/>
        <v/>
      </c>
      <c r="H40" s="58" t="str">
        <f t="shared" ca="1" si="4"/>
        <v/>
      </c>
    </row>
    <row r="43" spans="1:9" x14ac:dyDescent="0.25">
      <c r="A43" s="103"/>
      <c r="B43" s="9" t="s">
        <v>71</v>
      </c>
      <c r="C43" s="9"/>
      <c r="D43" s="9"/>
      <c r="E43" s="9"/>
      <c r="F43" s="9"/>
      <c r="G43" s="9"/>
      <c r="H43" s="9"/>
      <c r="I43" s="10"/>
    </row>
    <row r="45" spans="1:9" x14ac:dyDescent="0.25">
      <c r="B45" s="103" t="s">
        <v>63</v>
      </c>
      <c r="C45" s="105" t="s">
        <v>1</v>
      </c>
      <c r="E45" s="6" t="str">
        <f>ADDRESS(102,25,1,1,IF($C$2="Tippspiel","Tippspiel_Rechner","Rechner"))&amp;":"&amp;ADDRESS(106,33,1,1)</f>
        <v>Tippspiel_Rechner!$Y$102:$AG$106</v>
      </c>
    </row>
    <row r="46" spans="1:9" x14ac:dyDescent="0.25">
      <c r="B46" s="103" t="s">
        <v>14</v>
      </c>
      <c r="C46" s="105"/>
    </row>
    <row r="47" spans="1:9" x14ac:dyDescent="0.25">
      <c r="B47" s="103" t="s">
        <v>15</v>
      </c>
      <c r="C47" s="105"/>
    </row>
    <row r="48" spans="1:9" x14ac:dyDescent="0.25">
      <c r="B48" s="103" t="s">
        <v>66</v>
      </c>
      <c r="C48" s="105"/>
    </row>
    <row r="49" spans="1:9" x14ac:dyDescent="0.25">
      <c r="B49" s="103" t="s">
        <v>69</v>
      </c>
      <c r="C49" s="105"/>
    </row>
    <row r="50" spans="1:9" x14ac:dyDescent="0.25">
      <c r="B50" s="103" t="s">
        <v>72</v>
      </c>
      <c r="C50" s="105"/>
    </row>
    <row r="52" spans="1:9" x14ac:dyDescent="0.25">
      <c r="B52" s="103" t="s">
        <v>62</v>
      </c>
      <c r="C52" s="9" t="s">
        <v>53</v>
      </c>
      <c r="D52" s="9" t="s">
        <v>45</v>
      </c>
      <c r="E52" s="9" t="s">
        <v>46</v>
      </c>
      <c r="F52" s="9" t="s">
        <v>47</v>
      </c>
      <c r="G52" s="9" t="s">
        <v>61</v>
      </c>
      <c r="H52" s="10" t="s">
        <v>51</v>
      </c>
    </row>
    <row r="53" spans="1:9" x14ac:dyDescent="0.25">
      <c r="B53" s="57">
        <v>1</v>
      </c>
      <c r="C53" s="39" t="str">
        <f ca="1">IFERROR(VLOOKUP($B53,INDIRECT($E$45),COLUMN(),FALSE),"")</f>
        <v/>
      </c>
      <c r="D53" s="39" t="str">
        <f t="shared" ref="D53:H57" ca="1" si="6">IFERROR(VLOOKUP($B53,INDIRECT($E$45),COLUMN(),FALSE),"")</f>
        <v/>
      </c>
      <c r="E53" s="39" t="str">
        <f t="shared" ca="1" si="6"/>
        <v/>
      </c>
      <c r="F53" s="39" t="str">
        <f t="shared" ca="1" si="6"/>
        <v/>
      </c>
      <c r="G53" s="39" t="str">
        <f t="shared" ca="1" si="6"/>
        <v/>
      </c>
      <c r="H53" s="58" t="str">
        <f t="shared" ca="1" si="6"/>
        <v/>
      </c>
    </row>
    <row r="54" spans="1:9" x14ac:dyDescent="0.25">
      <c r="B54" s="57">
        <v>2</v>
      </c>
      <c r="C54" s="39" t="str">
        <f t="shared" ref="C54:C57" ca="1" si="7">IFERROR(VLOOKUP($B54,INDIRECT($E$45),COLUMN(),FALSE),"")</f>
        <v/>
      </c>
      <c r="D54" s="39" t="str">
        <f t="shared" ca="1" si="6"/>
        <v/>
      </c>
      <c r="E54" s="39" t="str">
        <f t="shared" ca="1" si="6"/>
        <v/>
      </c>
      <c r="F54" s="39" t="str">
        <f t="shared" ca="1" si="6"/>
        <v/>
      </c>
      <c r="G54" s="39" t="str">
        <f t="shared" ca="1" si="6"/>
        <v/>
      </c>
      <c r="H54" s="58" t="str">
        <f t="shared" ca="1" si="6"/>
        <v/>
      </c>
    </row>
    <row r="55" spans="1:9" x14ac:dyDescent="0.25">
      <c r="B55" s="57">
        <v>3</v>
      </c>
      <c r="C55" s="39" t="str">
        <f t="shared" ca="1" si="7"/>
        <v/>
      </c>
      <c r="D55" s="39" t="str">
        <f t="shared" ca="1" si="6"/>
        <v/>
      </c>
      <c r="E55" s="39" t="str">
        <f t="shared" ca="1" si="6"/>
        <v/>
      </c>
      <c r="F55" s="39" t="str">
        <f t="shared" ca="1" si="6"/>
        <v/>
      </c>
      <c r="G55" s="39" t="str">
        <f t="shared" ca="1" si="6"/>
        <v/>
      </c>
      <c r="H55" s="58" t="str">
        <f t="shared" ca="1" si="6"/>
        <v/>
      </c>
    </row>
    <row r="56" spans="1:9" x14ac:dyDescent="0.25">
      <c r="B56" s="57">
        <v>4</v>
      </c>
      <c r="C56" s="39" t="str">
        <f t="shared" ca="1" si="7"/>
        <v/>
      </c>
      <c r="D56" s="39" t="str">
        <f t="shared" ca="1" si="6"/>
        <v/>
      </c>
      <c r="E56" s="39" t="str">
        <f t="shared" ca="1" si="6"/>
        <v/>
      </c>
      <c r="F56" s="39" t="str">
        <f t="shared" ca="1" si="6"/>
        <v/>
      </c>
      <c r="G56" s="39" t="str">
        <f t="shared" ca="1" si="6"/>
        <v/>
      </c>
      <c r="H56" s="58" t="str">
        <f t="shared" ca="1" si="6"/>
        <v/>
      </c>
    </row>
    <row r="57" spans="1:9" x14ac:dyDescent="0.25">
      <c r="B57" s="57">
        <v>5</v>
      </c>
      <c r="C57" s="39" t="str">
        <f t="shared" ca="1" si="7"/>
        <v/>
      </c>
      <c r="D57" s="39" t="str">
        <f t="shared" ca="1" si="6"/>
        <v/>
      </c>
      <c r="E57" s="39" t="str">
        <f t="shared" ca="1" si="6"/>
        <v/>
      </c>
      <c r="F57" s="39" t="str">
        <f t="shared" ca="1" si="6"/>
        <v/>
      </c>
      <c r="G57" s="39" t="str">
        <f t="shared" ca="1" si="6"/>
        <v/>
      </c>
      <c r="H57" s="58" t="str">
        <f t="shared" ca="1" si="6"/>
        <v/>
      </c>
    </row>
    <row r="59" spans="1:9" x14ac:dyDescent="0.25">
      <c r="A59" s="103"/>
      <c r="B59" s="9" t="s">
        <v>75</v>
      </c>
      <c r="C59" s="9"/>
      <c r="D59" s="9"/>
      <c r="E59" s="9"/>
      <c r="F59" s="9"/>
      <c r="G59" s="9"/>
      <c r="H59" s="9"/>
      <c r="I59" s="10"/>
    </row>
    <row r="61" spans="1:9" x14ac:dyDescent="0.25">
      <c r="B61" s="103" t="s">
        <v>63</v>
      </c>
      <c r="C61" s="105" t="s">
        <v>1</v>
      </c>
      <c r="E61" s="6" t="str">
        <f>ADDRESS(122,25,1,1,IF($C$2="Tippspiel","Tippspiel_Rechner","Rechner"))&amp;":"&amp;ADDRESS(12,33,1,1)</f>
        <v>Tippspiel_Rechner!$Y$122:$AG$12</v>
      </c>
    </row>
    <row r="62" spans="1:9" x14ac:dyDescent="0.25">
      <c r="B62" s="103" t="s">
        <v>14</v>
      </c>
      <c r="C62" s="105"/>
    </row>
    <row r="63" spans="1:9" x14ac:dyDescent="0.25">
      <c r="B63" s="103" t="s">
        <v>15</v>
      </c>
      <c r="C63" s="105"/>
    </row>
    <row r="64" spans="1:9" x14ac:dyDescent="0.25">
      <c r="B64" s="103" t="s">
        <v>66</v>
      </c>
      <c r="C64" s="105"/>
    </row>
    <row r="65" spans="2:8" x14ac:dyDescent="0.25">
      <c r="B65" s="103" t="s">
        <v>69</v>
      </c>
      <c r="C65" s="105"/>
    </row>
    <row r="66" spans="2:8" x14ac:dyDescent="0.25">
      <c r="B66" s="103" t="s">
        <v>72</v>
      </c>
      <c r="C66" s="105"/>
    </row>
    <row r="67" spans="2:8" x14ac:dyDescent="0.25">
      <c r="B67" s="103" t="s">
        <v>73</v>
      </c>
      <c r="C67" s="105"/>
    </row>
    <row r="69" spans="2:8" x14ac:dyDescent="0.25">
      <c r="B69" s="103" t="s">
        <v>62</v>
      </c>
      <c r="C69" s="9" t="s">
        <v>53</v>
      </c>
      <c r="D69" s="9" t="s">
        <v>45</v>
      </c>
      <c r="E69" s="9" t="s">
        <v>46</v>
      </c>
      <c r="F69" s="9" t="s">
        <v>47</v>
      </c>
      <c r="G69" s="9" t="s">
        <v>61</v>
      </c>
      <c r="H69" s="10" t="s">
        <v>51</v>
      </c>
    </row>
    <row r="70" spans="2:8" x14ac:dyDescent="0.25">
      <c r="B70" s="57">
        <v>1</v>
      </c>
      <c r="C70" s="39" t="str">
        <f ca="1">IFERROR(VLOOKUP($B70,INDIRECT($E$61),COLUMN(),FALSE),"")</f>
        <v/>
      </c>
      <c r="D70" s="39" t="str">
        <f t="shared" ref="D70:H75" ca="1" si="8">IFERROR(VLOOKUP($B70,INDIRECT($E$61),COLUMN(),FALSE),"")</f>
        <v/>
      </c>
      <c r="E70" s="39" t="str">
        <f t="shared" ca="1" si="8"/>
        <v/>
      </c>
      <c r="F70" s="39" t="str">
        <f t="shared" ca="1" si="8"/>
        <v/>
      </c>
      <c r="G70" s="39" t="str">
        <f t="shared" ca="1" si="8"/>
        <v/>
      </c>
      <c r="H70" s="58" t="str">
        <f t="shared" ca="1" si="8"/>
        <v/>
      </c>
    </row>
    <row r="71" spans="2:8" x14ac:dyDescent="0.25">
      <c r="B71" s="57">
        <v>2</v>
      </c>
      <c r="C71" s="39" t="str">
        <f t="shared" ref="C71:C75" ca="1" si="9">IFERROR(VLOOKUP($B71,INDIRECT($E$61),COLUMN(),FALSE),"")</f>
        <v/>
      </c>
      <c r="D71" s="39" t="str">
        <f t="shared" ca="1" si="8"/>
        <v/>
      </c>
      <c r="E71" s="39" t="str">
        <f t="shared" ca="1" si="8"/>
        <v/>
      </c>
      <c r="F71" s="39" t="str">
        <f t="shared" ca="1" si="8"/>
        <v/>
      </c>
      <c r="G71" s="39" t="str">
        <f t="shared" ca="1" si="8"/>
        <v/>
      </c>
      <c r="H71" s="58" t="str">
        <f t="shared" ca="1" si="8"/>
        <v/>
      </c>
    </row>
    <row r="72" spans="2:8" x14ac:dyDescent="0.25">
      <c r="B72" s="57">
        <v>3</v>
      </c>
      <c r="C72" s="39" t="str">
        <f t="shared" ca="1" si="9"/>
        <v/>
      </c>
      <c r="D72" s="39" t="str">
        <f t="shared" ca="1" si="8"/>
        <v/>
      </c>
      <c r="E72" s="39" t="str">
        <f t="shared" ca="1" si="8"/>
        <v/>
      </c>
      <c r="F72" s="39" t="str">
        <f t="shared" ca="1" si="8"/>
        <v/>
      </c>
      <c r="G72" s="39" t="str">
        <f t="shared" ca="1" si="8"/>
        <v/>
      </c>
      <c r="H72" s="58" t="str">
        <f t="shared" ca="1" si="8"/>
        <v/>
      </c>
    </row>
    <row r="73" spans="2:8" x14ac:dyDescent="0.25">
      <c r="B73" s="57">
        <v>4</v>
      </c>
      <c r="C73" s="39" t="str">
        <f t="shared" ca="1" si="9"/>
        <v/>
      </c>
      <c r="D73" s="39" t="str">
        <f t="shared" ca="1" si="8"/>
        <v/>
      </c>
      <c r="E73" s="39" t="str">
        <f t="shared" ca="1" si="8"/>
        <v/>
      </c>
      <c r="F73" s="39" t="str">
        <f t="shared" ca="1" si="8"/>
        <v/>
      </c>
      <c r="G73" s="39" t="str">
        <f t="shared" ca="1" si="8"/>
        <v/>
      </c>
      <c r="H73" s="58" t="str">
        <f t="shared" ca="1" si="8"/>
        <v/>
      </c>
    </row>
    <row r="74" spans="2:8" x14ac:dyDescent="0.25">
      <c r="B74" s="57">
        <v>5</v>
      </c>
      <c r="C74" s="39" t="str">
        <f t="shared" ca="1" si="9"/>
        <v/>
      </c>
      <c r="D74" s="39" t="str">
        <f t="shared" ca="1" si="8"/>
        <v/>
      </c>
      <c r="E74" s="39" t="str">
        <f t="shared" ca="1" si="8"/>
        <v/>
      </c>
      <c r="F74" s="39" t="str">
        <f t="shared" ca="1" si="8"/>
        <v/>
      </c>
      <c r="G74" s="39" t="str">
        <f t="shared" ca="1" si="8"/>
        <v/>
      </c>
      <c r="H74" s="58" t="str">
        <f t="shared" ca="1" si="8"/>
        <v/>
      </c>
    </row>
    <row r="75" spans="2:8" x14ac:dyDescent="0.25">
      <c r="B75" s="57">
        <v>6</v>
      </c>
      <c r="C75" s="39" t="str">
        <f t="shared" ca="1" si="9"/>
        <v/>
      </c>
      <c r="D75" s="39" t="str">
        <f t="shared" ca="1" si="8"/>
        <v/>
      </c>
      <c r="E75" s="39" t="str">
        <f t="shared" ca="1" si="8"/>
        <v/>
      </c>
      <c r="F75" s="39" t="str">
        <f t="shared" ca="1" si="8"/>
        <v/>
      </c>
      <c r="G75" s="39" t="str">
        <f t="shared" ca="1" si="8"/>
        <v/>
      </c>
      <c r="H75" s="58" t="str">
        <f t="shared" ca="1" si="8"/>
        <v/>
      </c>
    </row>
  </sheetData>
  <phoneticPr fontId="3" type="noConversion"/>
  <conditionalFormatting sqref="E11:E12">
    <cfRule type="duplicateValues" dxfId="14" priority="15"/>
  </conditionalFormatting>
  <conditionalFormatting sqref="E23:E25">
    <cfRule type="duplicateValues" dxfId="13" priority="14"/>
  </conditionalFormatting>
  <conditionalFormatting sqref="E37:E40">
    <cfRule type="duplicateValues" dxfId="12" priority="13"/>
  </conditionalFormatting>
  <conditionalFormatting sqref="E53:E57">
    <cfRule type="duplicateValues" dxfId="11" priority="12"/>
  </conditionalFormatting>
  <conditionalFormatting sqref="E70:E75">
    <cfRule type="duplicateValues" dxfId="10" priority="11"/>
  </conditionalFormatting>
  <conditionalFormatting sqref="G11:G12">
    <cfRule type="duplicateValues" dxfId="9" priority="10"/>
  </conditionalFormatting>
  <conditionalFormatting sqref="G23:G25">
    <cfRule type="duplicateValues" dxfId="8" priority="8"/>
  </conditionalFormatting>
  <conditionalFormatting sqref="G37:G40">
    <cfRule type="duplicateValues" dxfId="7" priority="6"/>
  </conditionalFormatting>
  <conditionalFormatting sqref="G53:G57">
    <cfRule type="duplicateValues" dxfId="6" priority="4"/>
  </conditionalFormatting>
  <conditionalFormatting sqref="G70:G75">
    <cfRule type="duplicateValues" dxfId="5" priority="2"/>
  </conditionalFormatting>
  <conditionalFormatting sqref="H11:H12">
    <cfRule type="duplicateValues" dxfId="4" priority="9"/>
  </conditionalFormatting>
  <conditionalFormatting sqref="H23:H25">
    <cfRule type="duplicateValues" dxfId="3" priority="7"/>
  </conditionalFormatting>
  <conditionalFormatting sqref="H37:H40">
    <cfRule type="duplicateValues" dxfId="2" priority="5"/>
  </conditionalFormatting>
  <conditionalFormatting sqref="H53:H57">
    <cfRule type="duplicateValues" dxfId="1" priority="3"/>
  </conditionalFormatting>
  <conditionalFormatting sqref="H70:H75">
    <cfRule type="duplicateValues" dxfId="0" priority="1"/>
  </conditionalFormatting>
  <dataValidations count="2">
    <dataValidation type="list" allowBlank="1" showInputMessage="1" showErrorMessage="1" sqref="C6 C17 C30 C45 C61" xr:uid="{0AEF711B-57FA-4C87-8A15-F3589AD3FFA2}">
      <formula1>$K$15:$K$16</formula1>
    </dataValidation>
    <dataValidation type="list" allowBlank="1" showInputMessage="1" showErrorMessage="1" sqref="C2" xr:uid="{E5DB305B-59CE-4D7D-B585-7E945294AAA5}">
      <formula1>$E$2:$F$2</formula1>
    </dataValidation>
  </dataValidation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DECF9E-33A4-4478-B4A8-FC02F345CD0B}">
          <x14:formula1>
            <xm:f>Spielplan!$C$7:$C$14</xm:f>
          </x14:formula1>
          <xm:sqref>C7:C8 C18:C20 C31:C34 C46:C50 C62:C67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BE12-065E-4159-9E95-1FD913E32214}">
  <dimension ref="A2:Q53"/>
  <sheetViews>
    <sheetView showGridLines="0" zoomScaleNormal="100" workbookViewId="0"/>
  </sheetViews>
  <sheetFormatPr baseColWidth="10" defaultRowHeight="15" x14ac:dyDescent="0.25"/>
  <cols>
    <col min="1" max="1" width="3.7109375" customWidth="1"/>
    <col min="2" max="3" width="25.7109375" customWidth="1"/>
    <col min="4" max="4" width="6.5703125" customWidth="1"/>
    <col min="5" max="5" width="1.7109375" customWidth="1"/>
    <col min="6" max="7" width="6.5703125" customWidth="1"/>
    <col min="8" max="8" width="1.7109375" customWidth="1"/>
    <col min="9" max="9" width="6.5703125" customWidth="1"/>
    <col min="10" max="10" width="17.42578125" hidden="1" customWidth="1"/>
    <col min="11" max="12" width="11.42578125" hidden="1" customWidth="1"/>
    <col min="15" max="15" width="27.7109375" bestFit="1" customWidth="1"/>
    <col min="16" max="17" width="6.42578125" customWidth="1"/>
  </cols>
  <sheetData>
    <row r="2" spans="1:17" x14ac:dyDescent="0.25">
      <c r="B2" s="158" t="s">
        <v>95</v>
      </c>
      <c r="C2" s="159"/>
      <c r="D2" s="160" t="s">
        <v>96</v>
      </c>
      <c r="E2" s="161"/>
      <c r="F2" s="162"/>
      <c r="G2" s="160" t="s">
        <v>97</v>
      </c>
      <c r="H2" s="161"/>
      <c r="I2" s="162"/>
      <c r="J2" s="127" t="s">
        <v>98</v>
      </c>
      <c r="K2" s="53" t="s">
        <v>99</v>
      </c>
      <c r="L2" s="53" t="s">
        <v>100</v>
      </c>
      <c r="M2" s="55" t="s">
        <v>46</v>
      </c>
    </row>
    <row r="3" spans="1:17" ht="15" customHeight="1" x14ac:dyDescent="0.25">
      <c r="A3" s="56"/>
      <c r="B3" s="57" t="s">
        <v>4</v>
      </c>
      <c r="C3" s="39" t="s">
        <v>9</v>
      </c>
      <c r="D3" s="57"/>
      <c r="E3" s="38" t="s">
        <v>44</v>
      </c>
      <c r="F3" s="58"/>
      <c r="G3" s="57"/>
      <c r="H3" s="38" t="s">
        <v>44</v>
      </c>
      <c r="I3" s="58"/>
      <c r="J3" s="39" t="b">
        <f>NOT(OR(D3="",F3="",G3="",I3=""))</f>
        <v>0</v>
      </c>
      <c r="K3" s="38">
        <f>IF(AND(J3,D3=G3,F3=I3),5,0)</f>
        <v>0</v>
      </c>
      <c r="L3" s="38">
        <f>IF(AND(J3,K3=0,OR(AND(D3&gt;F3,G3&gt;I3),AND(D3&lt;F3,G3&lt;I3),AND(D3=F3,G3=I3))),1,0)</f>
        <v>0</v>
      </c>
      <c r="M3" s="59">
        <f>MAX(K3:L3)</f>
        <v>0</v>
      </c>
      <c r="O3" s="60" t="s">
        <v>111</v>
      </c>
      <c r="P3" s="54">
        <f>SUM(M3:M20)</f>
        <v>0</v>
      </c>
      <c r="Q3" s="61" t="s">
        <v>112</v>
      </c>
    </row>
    <row r="4" spans="1:17" x14ac:dyDescent="0.25">
      <c r="A4" s="56"/>
      <c r="B4" s="57" t="s">
        <v>3</v>
      </c>
      <c r="C4" s="39" t="s">
        <v>6</v>
      </c>
      <c r="D4" s="57"/>
      <c r="E4" s="38" t="s">
        <v>44</v>
      </c>
      <c r="F4" s="58"/>
      <c r="G4" s="57"/>
      <c r="H4" s="38" t="s">
        <v>44</v>
      </c>
      <c r="I4" s="58"/>
      <c r="J4" s="39" t="b">
        <f t="shared" ref="J4:J17" si="0">NOT(OR(D4="",F4="",G4="",I4=""))</f>
        <v>0</v>
      </c>
      <c r="K4" s="38">
        <f t="shared" ref="K4:K17" si="1">IF(AND(J4,D4=G4,F4=I4),5,0)</f>
        <v>0</v>
      </c>
      <c r="L4" s="38">
        <f t="shared" ref="L4:L17" si="2">IF(AND(J4,K4=0,OR(AND(D4&gt;F4,G4&gt;I4),AND(D4&lt;F4,G4&lt;I4),AND(D4=F4,G4=I4))),1,0)</f>
        <v>0</v>
      </c>
      <c r="M4" s="59">
        <f t="shared" ref="M4:M20" si="3">MAX(K4:L4)</f>
        <v>0</v>
      </c>
      <c r="O4" s="62" t="s">
        <v>113</v>
      </c>
      <c r="P4">
        <f>M25</f>
        <v>0</v>
      </c>
      <c r="Q4" s="63" t="s">
        <v>114</v>
      </c>
    </row>
    <row r="5" spans="1:17" x14ac:dyDescent="0.25">
      <c r="A5" s="56"/>
      <c r="B5" s="57" t="s">
        <v>5</v>
      </c>
      <c r="C5" s="39" t="s">
        <v>8</v>
      </c>
      <c r="D5" s="57"/>
      <c r="E5" s="38" t="s">
        <v>44</v>
      </c>
      <c r="F5" s="58"/>
      <c r="G5" s="57"/>
      <c r="H5" s="38" t="s">
        <v>44</v>
      </c>
      <c r="I5" s="58"/>
      <c r="J5" s="39" t="b">
        <f t="shared" si="0"/>
        <v>0</v>
      </c>
      <c r="K5" s="38">
        <f t="shared" si="1"/>
        <v>0</v>
      </c>
      <c r="L5" s="38">
        <f t="shared" si="2"/>
        <v>0</v>
      </c>
      <c r="M5" s="59">
        <f t="shared" si="3"/>
        <v>0</v>
      </c>
      <c r="O5" s="62" t="s">
        <v>101</v>
      </c>
      <c r="P5">
        <f>SUM(M31,M36)</f>
        <v>0</v>
      </c>
      <c r="Q5" s="63" t="s">
        <v>114</v>
      </c>
    </row>
    <row r="6" spans="1:17" x14ac:dyDescent="0.25">
      <c r="A6" s="56"/>
      <c r="B6" s="57" t="s">
        <v>7</v>
      </c>
      <c r="C6" s="39" t="s">
        <v>9</v>
      </c>
      <c r="D6" s="57"/>
      <c r="E6" s="38" t="s">
        <v>44</v>
      </c>
      <c r="F6" s="58"/>
      <c r="G6" s="57"/>
      <c r="H6" s="38" t="s">
        <v>44</v>
      </c>
      <c r="I6" s="58"/>
      <c r="J6" s="39" t="b">
        <f t="shared" si="0"/>
        <v>0</v>
      </c>
      <c r="K6" s="38">
        <f t="shared" si="1"/>
        <v>0</v>
      </c>
      <c r="L6" s="38">
        <f t="shared" si="2"/>
        <v>0</v>
      </c>
      <c r="M6" s="59">
        <f t="shared" si="3"/>
        <v>0</v>
      </c>
      <c r="O6" s="36" t="s">
        <v>102</v>
      </c>
      <c r="P6">
        <f>SUM(M41,M46)</f>
        <v>0</v>
      </c>
      <c r="Q6" s="63" t="s">
        <v>114</v>
      </c>
    </row>
    <row r="7" spans="1:17" x14ac:dyDescent="0.25">
      <c r="A7" s="56"/>
      <c r="B7" s="57" t="s">
        <v>4</v>
      </c>
      <c r="C7" s="39" t="s">
        <v>6</v>
      </c>
      <c r="D7" s="57"/>
      <c r="E7" s="38" t="s">
        <v>44</v>
      </c>
      <c r="F7" s="58"/>
      <c r="G7" s="57"/>
      <c r="H7" s="38" t="s">
        <v>44</v>
      </c>
      <c r="I7" s="58"/>
      <c r="J7" s="39" t="b">
        <f t="shared" si="0"/>
        <v>0</v>
      </c>
      <c r="K7" s="38">
        <f t="shared" si="1"/>
        <v>0</v>
      </c>
      <c r="L7" s="38">
        <f t="shared" si="2"/>
        <v>0</v>
      </c>
      <c r="M7" s="59">
        <f t="shared" si="3"/>
        <v>0</v>
      </c>
      <c r="O7" s="62" t="s">
        <v>103</v>
      </c>
      <c r="P7">
        <f>M51</f>
        <v>0</v>
      </c>
      <c r="Q7" s="63" t="s">
        <v>104</v>
      </c>
    </row>
    <row r="8" spans="1:17" x14ac:dyDescent="0.25">
      <c r="A8" s="56"/>
      <c r="B8" s="57" t="s">
        <v>3</v>
      </c>
      <c r="C8" s="39" t="s">
        <v>8</v>
      </c>
      <c r="D8" s="57"/>
      <c r="E8" s="38" t="s">
        <v>44</v>
      </c>
      <c r="F8" s="58"/>
      <c r="G8" s="57"/>
      <c r="H8" s="38" t="s">
        <v>44</v>
      </c>
      <c r="I8" s="58"/>
      <c r="J8" s="39" t="b">
        <f t="shared" si="0"/>
        <v>0</v>
      </c>
      <c r="K8" s="38">
        <f t="shared" si="1"/>
        <v>0</v>
      </c>
      <c r="L8" s="38">
        <f t="shared" si="2"/>
        <v>0</v>
      </c>
      <c r="M8" s="59">
        <f t="shared" si="3"/>
        <v>0</v>
      </c>
      <c r="O8" s="64" t="s">
        <v>10</v>
      </c>
      <c r="P8" s="39">
        <f>SUM(P3:P7)</f>
        <v>0</v>
      </c>
      <c r="Q8" s="65" t="s">
        <v>115</v>
      </c>
    </row>
    <row r="9" spans="1:17" x14ac:dyDescent="0.25">
      <c r="A9" s="56"/>
      <c r="B9" s="57" t="s">
        <v>5</v>
      </c>
      <c r="C9" s="39" t="s">
        <v>7</v>
      </c>
      <c r="D9" s="57"/>
      <c r="E9" s="38" t="s">
        <v>44</v>
      </c>
      <c r="F9" s="58"/>
      <c r="G9" s="57"/>
      <c r="H9" s="38" t="s">
        <v>44</v>
      </c>
      <c r="I9" s="58"/>
      <c r="J9" s="39" t="b">
        <f t="shared" si="0"/>
        <v>0</v>
      </c>
      <c r="K9" s="38">
        <f t="shared" si="1"/>
        <v>0</v>
      </c>
      <c r="L9" s="38">
        <f t="shared" si="2"/>
        <v>0</v>
      </c>
      <c r="M9" s="59">
        <f t="shared" si="3"/>
        <v>0</v>
      </c>
    </row>
    <row r="10" spans="1:17" x14ac:dyDescent="0.25">
      <c r="A10" s="56"/>
      <c r="B10" s="57" t="s">
        <v>6</v>
      </c>
      <c r="C10" s="39" t="s">
        <v>9</v>
      </c>
      <c r="D10" s="57"/>
      <c r="E10" s="38" t="s">
        <v>44</v>
      </c>
      <c r="F10" s="58"/>
      <c r="G10" s="57"/>
      <c r="H10" s="38" t="s">
        <v>44</v>
      </c>
      <c r="I10" s="58"/>
      <c r="J10" s="39" t="b">
        <f t="shared" si="0"/>
        <v>0</v>
      </c>
      <c r="K10" s="38">
        <f t="shared" si="1"/>
        <v>0</v>
      </c>
      <c r="L10" s="38">
        <f t="shared" si="2"/>
        <v>0</v>
      </c>
      <c r="M10" s="59">
        <f t="shared" si="3"/>
        <v>0</v>
      </c>
    </row>
    <row r="11" spans="1:17" x14ac:dyDescent="0.25">
      <c r="A11" s="56"/>
      <c r="B11" s="57" t="s">
        <v>4</v>
      </c>
      <c r="C11" s="39" t="s">
        <v>8</v>
      </c>
      <c r="D11" s="57"/>
      <c r="E11" s="38" t="s">
        <v>44</v>
      </c>
      <c r="F11" s="58"/>
      <c r="G11" s="57"/>
      <c r="H11" s="38" t="s">
        <v>44</v>
      </c>
      <c r="I11" s="58"/>
      <c r="J11" s="39" t="b">
        <f t="shared" si="0"/>
        <v>0</v>
      </c>
      <c r="K11" s="38">
        <f t="shared" si="1"/>
        <v>0</v>
      </c>
      <c r="L11" s="38">
        <f t="shared" si="2"/>
        <v>0</v>
      </c>
      <c r="M11" s="59">
        <f t="shared" si="3"/>
        <v>0</v>
      </c>
    </row>
    <row r="12" spans="1:17" x14ac:dyDescent="0.25">
      <c r="A12" s="56"/>
      <c r="B12" s="57" t="s">
        <v>3</v>
      </c>
      <c r="C12" s="39" t="s">
        <v>7</v>
      </c>
      <c r="D12" s="57"/>
      <c r="E12" s="38" t="s">
        <v>44</v>
      </c>
      <c r="F12" s="58"/>
      <c r="G12" s="57"/>
      <c r="H12" s="38" t="s">
        <v>44</v>
      </c>
      <c r="I12" s="58"/>
      <c r="J12" s="39" t="b">
        <f t="shared" si="0"/>
        <v>0</v>
      </c>
      <c r="K12" s="38">
        <f t="shared" si="1"/>
        <v>0</v>
      </c>
      <c r="L12" s="38">
        <f t="shared" si="2"/>
        <v>0</v>
      </c>
      <c r="M12" s="59">
        <f t="shared" si="3"/>
        <v>0</v>
      </c>
    </row>
    <row r="13" spans="1:17" x14ac:dyDescent="0.25">
      <c r="A13" s="56"/>
      <c r="B13" s="57" t="s">
        <v>5</v>
      </c>
      <c r="C13" s="39" t="s">
        <v>9</v>
      </c>
      <c r="D13" s="57"/>
      <c r="E13" s="38" t="s">
        <v>44</v>
      </c>
      <c r="F13" s="58"/>
      <c r="G13" s="57"/>
      <c r="H13" s="38" t="s">
        <v>44</v>
      </c>
      <c r="I13" s="58"/>
      <c r="J13" s="39" t="b">
        <f t="shared" si="0"/>
        <v>0</v>
      </c>
      <c r="K13" s="38">
        <f t="shared" si="1"/>
        <v>0</v>
      </c>
      <c r="L13" s="38">
        <f t="shared" si="2"/>
        <v>0</v>
      </c>
      <c r="M13" s="59">
        <f t="shared" si="3"/>
        <v>0</v>
      </c>
    </row>
    <row r="14" spans="1:17" x14ac:dyDescent="0.25">
      <c r="A14" s="56"/>
      <c r="B14" s="57" t="s">
        <v>6</v>
      </c>
      <c r="C14" s="39" t="s">
        <v>8</v>
      </c>
      <c r="D14" s="57"/>
      <c r="E14" s="38" t="s">
        <v>44</v>
      </c>
      <c r="F14" s="58"/>
      <c r="G14" s="57"/>
      <c r="H14" s="38" t="s">
        <v>44</v>
      </c>
      <c r="I14" s="58"/>
      <c r="J14" s="39" t="b">
        <f t="shared" si="0"/>
        <v>0</v>
      </c>
      <c r="K14" s="38">
        <f t="shared" si="1"/>
        <v>0</v>
      </c>
      <c r="L14" s="38">
        <f t="shared" si="2"/>
        <v>0</v>
      </c>
      <c r="M14" s="59">
        <f t="shared" si="3"/>
        <v>0</v>
      </c>
    </row>
    <row r="15" spans="1:17" x14ac:dyDescent="0.25">
      <c r="A15" s="56"/>
      <c r="B15" s="57" t="s">
        <v>4</v>
      </c>
      <c r="C15" s="39" t="s">
        <v>7</v>
      </c>
      <c r="D15" s="57"/>
      <c r="E15" s="38" t="s">
        <v>44</v>
      </c>
      <c r="F15" s="58"/>
      <c r="G15" s="57"/>
      <c r="H15" s="38" t="s">
        <v>44</v>
      </c>
      <c r="I15" s="58"/>
      <c r="J15" s="39" t="b">
        <f t="shared" si="0"/>
        <v>0</v>
      </c>
      <c r="K15" s="38">
        <f t="shared" si="1"/>
        <v>0</v>
      </c>
      <c r="L15" s="38">
        <f t="shared" si="2"/>
        <v>0</v>
      </c>
      <c r="M15" s="59">
        <f t="shared" si="3"/>
        <v>0</v>
      </c>
    </row>
    <row r="16" spans="1:17" x14ac:dyDescent="0.25">
      <c r="A16" s="56"/>
      <c r="B16" s="57" t="s">
        <v>3</v>
      </c>
      <c r="C16" s="39" t="s">
        <v>5</v>
      </c>
      <c r="D16" s="57"/>
      <c r="E16" s="38" t="s">
        <v>44</v>
      </c>
      <c r="F16" s="58"/>
      <c r="G16" s="57"/>
      <c r="H16" s="38" t="s">
        <v>44</v>
      </c>
      <c r="I16" s="58"/>
      <c r="J16" s="39" t="b">
        <f t="shared" si="0"/>
        <v>0</v>
      </c>
      <c r="K16" s="38">
        <f t="shared" si="1"/>
        <v>0</v>
      </c>
      <c r="L16" s="38">
        <f t="shared" si="2"/>
        <v>0</v>
      </c>
      <c r="M16" s="59">
        <f t="shared" si="3"/>
        <v>0</v>
      </c>
    </row>
    <row r="17" spans="1:13" x14ac:dyDescent="0.25">
      <c r="A17" s="56"/>
      <c r="B17" s="57" t="s">
        <v>8</v>
      </c>
      <c r="C17" s="39" t="s">
        <v>9</v>
      </c>
      <c r="D17" s="57"/>
      <c r="E17" s="38" t="s">
        <v>44</v>
      </c>
      <c r="F17" s="58"/>
      <c r="G17" s="57"/>
      <c r="H17" s="38" t="s">
        <v>44</v>
      </c>
      <c r="I17" s="58"/>
      <c r="J17" s="39" t="b">
        <f t="shared" si="0"/>
        <v>0</v>
      </c>
      <c r="K17" s="38">
        <f t="shared" si="1"/>
        <v>0</v>
      </c>
      <c r="L17" s="38">
        <f t="shared" si="2"/>
        <v>0</v>
      </c>
      <c r="M17" s="59">
        <f t="shared" si="3"/>
        <v>0</v>
      </c>
    </row>
    <row r="18" spans="1:13" x14ac:dyDescent="0.25">
      <c r="A18" s="56"/>
      <c r="B18" s="57" t="s">
        <v>6</v>
      </c>
      <c r="C18" s="39" t="s">
        <v>7</v>
      </c>
      <c r="D18" s="57"/>
      <c r="E18" s="38" t="s">
        <v>44</v>
      </c>
      <c r="F18" s="58"/>
      <c r="G18" s="57"/>
      <c r="H18" s="38" t="s">
        <v>44</v>
      </c>
      <c r="I18" s="58"/>
      <c r="J18" s="39" t="b">
        <f t="shared" ref="J18:J20" si="4">NOT(OR(D18="",F18="",G18="",I18=""))</f>
        <v>0</v>
      </c>
      <c r="K18" s="38">
        <f t="shared" ref="K18:K20" si="5">IF(AND(J18,D18=G18,F18=I18),5,0)</f>
        <v>0</v>
      </c>
      <c r="L18" s="38">
        <f t="shared" ref="L18:L20" si="6">IF(AND(J18,K18=0,OR(AND(D18&gt;F18,G18&gt;I18),AND(D18&lt;F18,G18&lt;I18),AND(D18=F18,G18=I18))),1,0)</f>
        <v>0</v>
      </c>
      <c r="M18" s="59">
        <f t="shared" si="3"/>
        <v>0</v>
      </c>
    </row>
    <row r="19" spans="1:13" x14ac:dyDescent="0.25">
      <c r="A19" s="56"/>
      <c r="B19" s="57" t="s">
        <v>4</v>
      </c>
      <c r="C19" s="39" t="s">
        <v>5</v>
      </c>
      <c r="D19" s="57"/>
      <c r="E19" s="38" t="s">
        <v>44</v>
      </c>
      <c r="F19" s="58"/>
      <c r="G19" s="57"/>
      <c r="H19" s="38" t="s">
        <v>44</v>
      </c>
      <c r="I19" s="58"/>
      <c r="J19" s="39" t="b">
        <f t="shared" si="4"/>
        <v>0</v>
      </c>
      <c r="K19" s="38">
        <f t="shared" si="5"/>
        <v>0</v>
      </c>
      <c r="L19" s="38">
        <f t="shared" si="6"/>
        <v>0</v>
      </c>
      <c r="M19" s="59">
        <f t="shared" si="3"/>
        <v>0</v>
      </c>
    </row>
    <row r="20" spans="1:13" x14ac:dyDescent="0.25">
      <c r="A20" s="56"/>
      <c r="B20" s="57" t="s">
        <v>3</v>
      </c>
      <c r="C20" s="39" t="s">
        <v>9</v>
      </c>
      <c r="D20" s="57"/>
      <c r="E20" s="38" t="s">
        <v>44</v>
      </c>
      <c r="F20" s="58"/>
      <c r="G20" s="57"/>
      <c r="H20" s="38" t="s">
        <v>44</v>
      </c>
      <c r="I20" s="58"/>
      <c r="J20" s="39" t="b">
        <f t="shared" si="4"/>
        <v>0</v>
      </c>
      <c r="K20" s="38">
        <f t="shared" si="5"/>
        <v>0</v>
      </c>
      <c r="L20" s="38">
        <f t="shared" si="6"/>
        <v>0</v>
      </c>
      <c r="M20" s="59">
        <f t="shared" si="3"/>
        <v>0</v>
      </c>
    </row>
    <row r="21" spans="1:13" x14ac:dyDescent="0.25">
      <c r="A21" s="66"/>
      <c r="E21" s="2"/>
      <c r="H21" s="2"/>
    </row>
    <row r="23" spans="1:13" x14ac:dyDescent="0.25">
      <c r="B23" s="166" t="s">
        <v>113</v>
      </c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8"/>
    </row>
    <row r="24" spans="1:13" x14ac:dyDescent="0.25">
      <c r="B24" s="68" t="s">
        <v>96</v>
      </c>
      <c r="C24" s="67" t="s">
        <v>97</v>
      </c>
      <c r="D24" s="69"/>
      <c r="E24" s="69"/>
      <c r="F24" s="69"/>
      <c r="G24" s="69"/>
      <c r="H24" s="69"/>
      <c r="I24" s="69"/>
      <c r="J24" s="38" t="s">
        <v>98</v>
      </c>
      <c r="K24" s="67" t="s">
        <v>99</v>
      </c>
      <c r="L24" s="67" t="s">
        <v>105</v>
      </c>
      <c r="M24" s="70" t="s">
        <v>46</v>
      </c>
    </row>
    <row r="25" spans="1:13" ht="15.75" customHeight="1" x14ac:dyDescent="0.25">
      <c r="B25" s="57" t="str">
        <f>IF(Spielplan!F53&lt;6,"Platz 5 der Vorrunde",Spielplan!C53)</f>
        <v>Platz 5 der Vorrunde</v>
      </c>
      <c r="C25" s="58" t="str">
        <f>IF(Tippspiel!F53&lt;6,"Platz 5 der Vorrunde",Tippspiel!C53)</f>
        <v>Platz 5 der Vorrunde</v>
      </c>
      <c r="I25" s="71"/>
      <c r="J25" s="164" t="b">
        <f>AND(NOT(LEFT(B26,5)="Platz"),NOT(LEFT(B25,5)="Platz"),NOT(LEFT(B26,5)="Platz"))</f>
        <v>0</v>
      </c>
      <c r="K25" s="72">
        <f>IF(AND($J$25,OR(B25=$C$25,B25=$C$26,B25=$C$27)),1,0)</f>
        <v>0</v>
      </c>
      <c r="L25" s="165">
        <f>IF(AND(J25,B25=C25,B26=C26,B27=C27),1,0)</f>
        <v>0</v>
      </c>
      <c r="M25" s="165">
        <f>SUM(K25:L27)</f>
        <v>0</v>
      </c>
    </row>
    <row r="26" spans="1:13" ht="15.75" customHeight="1" x14ac:dyDescent="0.25">
      <c r="B26" s="57" t="str">
        <f>IF(Spielplan!F54&lt;6,"Platz 6 der Vorrunde",Spielplan!C54)</f>
        <v>Platz 6 der Vorrunde</v>
      </c>
      <c r="C26" s="58" t="str">
        <f>IF(Tippspiel!F54&lt;6,"Platz 6 der Vorrunde",Tippspiel!C54)</f>
        <v>Platz 6 der Vorrunde</v>
      </c>
      <c r="I26" s="71"/>
      <c r="J26" s="169"/>
      <c r="K26" s="72">
        <f>IF(AND($J$25,OR(B26=$C$25,B26=$C$26,B26=$C$27)),1,0)</f>
        <v>0</v>
      </c>
      <c r="L26" s="165"/>
      <c r="M26" s="165"/>
    </row>
    <row r="27" spans="1:13" x14ac:dyDescent="0.25">
      <c r="B27" s="57" t="str">
        <f>IF(Spielplan!F55&lt;6,"Platz 7 der Vorrunde",Spielplan!C55)</f>
        <v>Platz 7 der Vorrunde</v>
      </c>
      <c r="C27" s="58" t="str">
        <f>IF(Spielplan!F55&lt;6,"Platz 7 der Vorrunde",Tippspiel!C55)</f>
        <v>Platz 7 der Vorrunde</v>
      </c>
      <c r="D27" s="73"/>
      <c r="E27" s="73"/>
      <c r="F27" s="73"/>
      <c r="G27" s="73"/>
      <c r="H27" s="73"/>
      <c r="I27" s="74"/>
      <c r="J27" s="165"/>
      <c r="K27" s="72">
        <f>IF(AND($J$25,OR(B27=$C$25,B27=$C$26,B27=$C$27)),1,0)</f>
        <v>0</v>
      </c>
      <c r="L27" s="170"/>
      <c r="M27" s="170"/>
    </row>
    <row r="29" spans="1:13" x14ac:dyDescent="0.25">
      <c r="B29" s="166" t="s">
        <v>106</v>
      </c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8"/>
    </row>
    <row r="30" spans="1:13" x14ac:dyDescent="0.25">
      <c r="B30" s="68" t="s">
        <v>96</v>
      </c>
      <c r="C30" s="67" t="s">
        <v>97</v>
      </c>
      <c r="D30" s="69"/>
      <c r="E30" s="69"/>
      <c r="F30" s="69"/>
      <c r="G30" s="69"/>
      <c r="H30" s="69"/>
      <c r="I30" s="69"/>
      <c r="J30" s="38" t="s">
        <v>98</v>
      </c>
      <c r="K30" s="67" t="s">
        <v>99</v>
      </c>
      <c r="L30" s="67" t="s">
        <v>105</v>
      </c>
      <c r="M30" s="70" t="s">
        <v>46</v>
      </c>
    </row>
    <row r="31" spans="1:13" x14ac:dyDescent="0.25">
      <c r="B31" s="57" t="str">
        <f>Spielplan!F65</f>
        <v>Platz 2 der Vorrunde</v>
      </c>
      <c r="C31" s="58" t="str">
        <f>Tippspiel!F66</f>
        <v>Platz 2 der Vorrunde</v>
      </c>
      <c r="D31" s="75"/>
      <c r="E31" s="54"/>
      <c r="F31" s="54"/>
      <c r="G31" s="54"/>
      <c r="H31" s="54"/>
      <c r="I31" s="76"/>
      <c r="J31" s="163" t="b">
        <f>AND(NOT(LEFT(B31,5)="Platz"),NOT(LEFT(B32,5)="Platz"))</f>
        <v>0</v>
      </c>
      <c r="K31" s="59">
        <f>IF(AND(J31,B31=C31),1,0)</f>
        <v>0</v>
      </c>
      <c r="L31" s="164">
        <f>IF(AND(J31,B31=C31,B32=C32),1,0)</f>
        <v>0</v>
      </c>
      <c r="M31" s="164">
        <f>SUM(K31:L32)</f>
        <v>0</v>
      </c>
    </row>
    <row r="32" spans="1:13" x14ac:dyDescent="0.25">
      <c r="B32" s="57" t="str">
        <f>Spielplan!K65</f>
        <v>Platz 3 der Vorrunde</v>
      </c>
      <c r="C32" s="58" t="str">
        <f>Tippspiel!K66</f>
        <v>Platz 3 der Vorrunde</v>
      </c>
      <c r="D32" s="77"/>
      <c r="E32" s="73"/>
      <c r="F32" s="73"/>
      <c r="G32" s="73"/>
      <c r="H32" s="73"/>
      <c r="I32" s="74"/>
      <c r="J32" s="163"/>
      <c r="K32" s="59">
        <f>IF(AND(J31,B32=C32),1,0)</f>
        <v>0</v>
      </c>
      <c r="L32" s="165"/>
      <c r="M32" s="165"/>
    </row>
    <row r="34" spans="2:13" x14ac:dyDescent="0.25">
      <c r="B34" s="166" t="s">
        <v>107</v>
      </c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8"/>
    </row>
    <row r="35" spans="2:13" x14ac:dyDescent="0.25">
      <c r="B35" s="68" t="s">
        <v>96</v>
      </c>
      <c r="C35" s="67" t="s">
        <v>97</v>
      </c>
      <c r="D35" s="69"/>
      <c r="E35" s="69"/>
      <c r="F35" s="69"/>
      <c r="G35" s="69"/>
      <c r="H35" s="69"/>
      <c r="I35" s="69"/>
      <c r="J35" s="38" t="s">
        <v>98</v>
      </c>
      <c r="K35" s="67" t="s">
        <v>99</v>
      </c>
      <c r="L35" s="67" t="s">
        <v>105</v>
      </c>
      <c r="M35" s="70" t="s">
        <v>46</v>
      </c>
    </row>
    <row r="36" spans="2:13" x14ac:dyDescent="0.25">
      <c r="B36" s="57" t="str">
        <f>Spielplan!F63</f>
        <v>Platz 1 der Vorrunde</v>
      </c>
      <c r="C36" s="58" t="str">
        <f>Tippspiel!F64</f>
        <v>Platz 1 der Vorrunde</v>
      </c>
      <c r="D36" s="75"/>
      <c r="E36" s="54"/>
      <c r="F36" s="54"/>
      <c r="G36" s="54"/>
      <c r="H36" s="54"/>
      <c r="I36" s="76"/>
      <c r="J36" s="163" t="b">
        <f>AND(NOT(LEFT(B36,5)="Platz"),NOT(LEFT(B37,5)="Platz"))</f>
        <v>0</v>
      </c>
      <c r="K36" s="59">
        <f>IF(AND(J36,B36=C36),1,0)</f>
        <v>0</v>
      </c>
      <c r="L36" s="164">
        <f>IF(AND(J36,B36=C36,B37=C37),1,0)</f>
        <v>0</v>
      </c>
      <c r="M36" s="164">
        <f>SUM(K36:L37)</f>
        <v>0</v>
      </c>
    </row>
    <row r="37" spans="2:13" x14ac:dyDescent="0.25">
      <c r="B37" s="57" t="str">
        <f>Spielplan!K63</f>
        <v>Platz 4 der Vorrunde</v>
      </c>
      <c r="C37" s="58" t="str">
        <f>Tippspiel!K64</f>
        <v>Platz 4 der Vorrunde</v>
      </c>
      <c r="D37" s="77"/>
      <c r="E37" s="73"/>
      <c r="F37" s="73"/>
      <c r="G37" s="73"/>
      <c r="H37" s="73"/>
      <c r="I37" s="74"/>
      <c r="J37" s="163"/>
      <c r="K37" s="59">
        <f>IF(AND(J36,B37=C37),1,0)</f>
        <v>0</v>
      </c>
      <c r="L37" s="165"/>
      <c r="M37" s="165"/>
    </row>
    <row r="39" spans="2:13" x14ac:dyDescent="0.25">
      <c r="B39" s="166" t="s">
        <v>108</v>
      </c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M39" s="168"/>
    </row>
    <row r="40" spans="2:13" x14ac:dyDescent="0.25">
      <c r="B40" s="68" t="s">
        <v>96</v>
      </c>
      <c r="C40" s="67" t="s">
        <v>97</v>
      </c>
      <c r="D40" s="69"/>
      <c r="E40" s="69"/>
      <c r="F40" s="69"/>
      <c r="G40" s="69"/>
      <c r="H40" s="69"/>
      <c r="I40" s="69"/>
      <c r="J40" s="38" t="s">
        <v>98</v>
      </c>
      <c r="K40" s="67" t="s">
        <v>99</v>
      </c>
      <c r="L40" s="67" t="s">
        <v>105</v>
      </c>
      <c r="M40" s="70" t="s">
        <v>46</v>
      </c>
    </row>
    <row r="41" spans="2:13" x14ac:dyDescent="0.25">
      <c r="B41" s="57" t="str">
        <f>Spielplan!F67</f>
        <v>Verlierer HF1</v>
      </c>
      <c r="C41" s="58" t="str">
        <f>Tippspiel!F68</f>
        <v>Verlierer HF1</v>
      </c>
      <c r="D41" s="75"/>
      <c r="E41" s="54"/>
      <c r="F41" s="54"/>
      <c r="G41" s="54"/>
      <c r="H41" s="54"/>
      <c r="I41" s="76"/>
      <c r="J41" s="163" t="b">
        <f>AND(NOT(LEFT(B41,9)="Verlierer"),NOT(LEFT(B42,9)="Verlierer"))</f>
        <v>0</v>
      </c>
      <c r="K41" s="59">
        <f>IF(AND(J41,B41=C41),1,0)</f>
        <v>0</v>
      </c>
      <c r="L41" s="164">
        <f>IF(AND(J41,B41=C41,B42=C42),1,0)</f>
        <v>0</v>
      </c>
      <c r="M41" s="164">
        <f>SUM(K41:L42)</f>
        <v>0</v>
      </c>
    </row>
    <row r="42" spans="2:13" x14ac:dyDescent="0.25">
      <c r="B42" s="57" t="str">
        <f>Spielplan!K67</f>
        <v>Verlierer HF2</v>
      </c>
      <c r="C42" s="58" t="str">
        <f>Tippspiel!K68</f>
        <v>Verlierer HF2</v>
      </c>
      <c r="D42" s="77"/>
      <c r="E42" s="73"/>
      <c r="F42" s="73"/>
      <c r="G42" s="73"/>
      <c r="H42" s="73"/>
      <c r="I42" s="74"/>
      <c r="J42" s="163"/>
      <c r="K42" s="59">
        <f>IF(AND(J41,B42=C42),1,0)</f>
        <v>0</v>
      </c>
      <c r="L42" s="165"/>
      <c r="M42" s="165"/>
    </row>
    <row r="44" spans="2:13" x14ac:dyDescent="0.25">
      <c r="B44" s="166" t="s">
        <v>109</v>
      </c>
      <c r="C44" s="167"/>
      <c r="D44" s="167"/>
      <c r="E44" s="167"/>
      <c r="F44" s="167"/>
      <c r="G44" s="167"/>
      <c r="H44" s="167"/>
      <c r="I44" s="167"/>
      <c r="J44" s="167"/>
      <c r="K44" s="167"/>
      <c r="L44" s="167"/>
      <c r="M44" s="168"/>
    </row>
    <row r="45" spans="2:13" x14ac:dyDescent="0.25">
      <c r="B45" s="68" t="s">
        <v>96</v>
      </c>
      <c r="C45" s="67" t="s">
        <v>97</v>
      </c>
      <c r="D45" s="69"/>
      <c r="E45" s="69"/>
      <c r="F45" s="69"/>
      <c r="G45" s="69"/>
      <c r="H45" s="69"/>
      <c r="I45" s="69"/>
      <c r="J45" s="38" t="s">
        <v>98</v>
      </c>
      <c r="K45" s="67" t="s">
        <v>99</v>
      </c>
      <c r="L45" s="67" t="s">
        <v>105</v>
      </c>
      <c r="M45" s="70" t="s">
        <v>46</v>
      </c>
    </row>
    <row r="46" spans="2:13" x14ac:dyDescent="0.25">
      <c r="B46" s="57" t="str">
        <f>Spielplan!F68</f>
        <v>Gewinner HF1</v>
      </c>
      <c r="C46" s="58" t="str">
        <f>Tippspiel!F69</f>
        <v>Gewinner HF1</v>
      </c>
      <c r="D46" s="75"/>
      <c r="E46" s="54"/>
      <c r="F46" s="54"/>
      <c r="G46" s="54"/>
      <c r="H46" s="54"/>
      <c r="I46" s="76"/>
      <c r="J46" s="163" t="b">
        <f>AND(NOT(LEFT(B46,8)="Gewinner"),NOT(LEFT(B47,8)="Gewinner"))</f>
        <v>0</v>
      </c>
      <c r="K46" s="59">
        <f>IF(AND(J46,B46=C46),2,0)</f>
        <v>0</v>
      </c>
      <c r="L46" s="164">
        <f>IF(AND(J46,B46=C46,B47=C47),1,0)</f>
        <v>0</v>
      </c>
      <c r="M46" s="164">
        <f>SUM(K46:L47)</f>
        <v>0</v>
      </c>
    </row>
    <row r="47" spans="2:13" x14ac:dyDescent="0.25">
      <c r="B47" s="57" t="str">
        <f>Spielplan!K68</f>
        <v>Gewinner HF2</v>
      </c>
      <c r="C47" s="58" t="str">
        <f>Tippspiel!K69</f>
        <v>Gewinner HF2</v>
      </c>
      <c r="D47" s="77"/>
      <c r="E47" s="73"/>
      <c r="F47" s="73"/>
      <c r="G47" s="73"/>
      <c r="H47" s="73"/>
      <c r="I47" s="74"/>
      <c r="J47" s="163"/>
      <c r="K47" s="59">
        <f>IF(AND(J46,B47=C47),2,0)</f>
        <v>0</v>
      </c>
      <c r="L47" s="165"/>
      <c r="M47" s="165"/>
    </row>
    <row r="49" spans="2:13" x14ac:dyDescent="0.25">
      <c r="B49" s="166" t="s">
        <v>110</v>
      </c>
      <c r="C49" s="167"/>
      <c r="D49" s="167"/>
      <c r="E49" s="167"/>
      <c r="F49" s="167"/>
      <c r="G49" s="167"/>
      <c r="H49" s="167"/>
      <c r="I49" s="167"/>
      <c r="J49" s="167"/>
      <c r="K49" s="167"/>
      <c r="L49" s="167"/>
      <c r="M49" s="168"/>
    </row>
    <row r="50" spans="2:13" x14ac:dyDescent="0.25">
      <c r="B50" s="68" t="s">
        <v>96</v>
      </c>
      <c r="C50" s="67" t="s">
        <v>97</v>
      </c>
      <c r="D50" s="78"/>
      <c r="E50" s="78"/>
      <c r="F50" s="78"/>
      <c r="G50" s="78"/>
      <c r="H50" s="78"/>
      <c r="I50" s="78"/>
      <c r="J50" s="67" t="s">
        <v>98</v>
      </c>
      <c r="K50" s="78" t="s">
        <v>99</v>
      </c>
      <c r="L50" s="67" t="s">
        <v>105</v>
      </c>
      <c r="M50" s="70" t="s">
        <v>46</v>
      </c>
    </row>
    <row r="51" spans="2:13" x14ac:dyDescent="0.25">
      <c r="B51" s="57" t="str">
        <f>Spielplan!C82</f>
        <v>Gewinner Spiel um Platz 3</v>
      </c>
      <c r="C51" s="58" t="str">
        <f>Tippspiel!C83</f>
        <v>Gewinner Spiel um Platz 3</v>
      </c>
      <c r="D51" s="75"/>
      <c r="E51" s="54"/>
      <c r="F51" s="54"/>
      <c r="G51" s="54"/>
      <c r="H51" s="54"/>
      <c r="I51" s="76"/>
      <c r="J51" s="163" t="b">
        <f>AND(NOT(LEFT(B53,8)="Gewinner"),NOT(LEFT(B52,9)="Verlierer"),NOT(LEFT(B51,8)="Gewinner"))</f>
        <v>0</v>
      </c>
      <c r="K51" s="59">
        <f>IF(AND($J$51,B51=C51),2,0)</f>
        <v>0</v>
      </c>
      <c r="L51" s="164">
        <f>IF(AND(J51,B51=C51,B52=C52,B53=C53),1,0)</f>
        <v>0</v>
      </c>
      <c r="M51" s="164">
        <f>SUM(K51:L53)</f>
        <v>0</v>
      </c>
    </row>
    <row r="52" spans="2:13" x14ac:dyDescent="0.25">
      <c r="B52" s="57" t="str">
        <f>Spielplan!C81</f>
        <v>Verlierer Spiel um Platz 1</v>
      </c>
      <c r="C52" s="58" t="str">
        <f>Tippspiel!C82</f>
        <v>Verlierer Spiel um Platz 1</v>
      </c>
      <c r="D52" s="79"/>
      <c r="I52" s="71"/>
      <c r="J52" s="163"/>
      <c r="K52" s="59">
        <f>IF(AND($J$51,B52=C52),3,0)</f>
        <v>0</v>
      </c>
      <c r="L52" s="169"/>
      <c r="M52" s="169"/>
    </row>
    <row r="53" spans="2:13" x14ac:dyDescent="0.25">
      <c r="B53" s="57" t="str">
        <f>Spielplan!C80</f>
        <v>Gewinner Spiel um Platz 1</v>
      </c>
      <c r="C53" s="58" t="str">
        <f>Tippspiel!C81</f>
        <v>Gewinner Spiel um Platz 1</v>
      </c>
      <c r="D53" s="77"/>
      <c r="E53" s="73"/>
      <c r="F53" s="73"/>
      <c r="G53" s="73"/>
      <c r="H53" s="73"/>
      <c r="I53" s="74"/>
      <c r="J53" s="163"/>
      <c r="K53" s="59">
        <f>IF(AND($J$51,B53=C53),5,0)</f>
        <v>0</v>
      </c>
      <c r="L53" s="165"/>
      <c r="M53" s="165"/>
    </row>
  </sheetData>
  <sheetProtection algorithmName="SHA-512" hashValue="46+0nr+jdzrI7IgmPlDb8Noy7W9ER5SL3EpaE7Ku78pxXGafIG7doogNCfqMlUQ5M8XaHFaEKdtMJyAlG1mzJw==" saltValue="SKf44IFWjmcK2m6gWi75EQ==" spinCount="100000" sheet="1" objects="1" scenarios="1"/>
  <mergeCells count="27">
    <mergeCell ref="B49:M49"/>
    <mergeCell ref="J51:J53"/>
    <mergeCell ref="L51:L53"/>
    <mergeCell ref="M51:M53"/>
    <mergeCell ref="B39:M39"/>
    <mergeCell ref="J41:J42"/>
    <mergeCell ref="L41:L42"/>
    <mergeCell ref="M41:M42"/>
    <mergeCell ref="B44:M44"/>
    <mergeCell ref="J46:J47"/>
    <mergeCell ref="L46:L47"/>
    <mergeCell ref="M46:M47"/>
    <mergeCell ref="M36:M37"/>
    <mergeCell ref="B23:M23"/>
    <mergeCell ref="J25:J27"/>
    <mergeCell ref="L25:L27"/>
    <mergeCell ref="M25:M27"/>
    <mergeCell ref="B29:M29"/>
    <mergeCell ref="J31:J32"/>
    <mergeCell ref="L31:L32"/>
    <mergeCell ref="M31:M32"/>
    <mergeCell ref="B34:M34"/>
    <mergeCell ref="B2:C2"/>
    <mergeCell ref="D2:F2"/>
    <mergeCell ref="G2:I2"/>
    <mergeCell ref="J36:J37"/>
    <mergeCell ref="L36:L37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B398-22C2-4A94-974B-2E81D8B7A2C5}">
  <dimension ref="A2:AH134"/>
  <sheetViews>
    <sheetView topLeftCell="G88" workbookViewId="0">
      <selection activeCell="V135" sqref="V135:V136"/>
    </sheetView>
  </sheetViews>
  <sheetFormatPr baseColWidth="10" defaultRowHeight="15" x14ac:dyDescent="0.25"/>
  <cols>
    <col min="1" max="1" width="42.7109375" bestFit="1" customWidth="1"/>
    <col min="2" max="3" width="21.85546875" bestFit="1" customWidth="1"/>
    <col min="4" max="5" width="4.5703125" customWidth="1"/>
    <col min="6" max="6" width="5" customWidth="1"/>
    <col min="7" max="7" width="21.85546875" bestFit="1" customWidth="1"/>
    <col min="8" max="9" width="3.7109375" customWidth="1"/>
    <col min="10" max="12" width="3.7109375" bestFit="1" customWidth="1"/>
    <col min="13" max="13" width="3.7109375" customWidth="1"/>
    <col min="14" max="14" width="3.7109375" bestFit="1" customWidth="1"/>
    <col min="15" max="15" width="6.7109375" customWidth="1"/>
    <col min="16" max="16" width="21.85546875" bestFit="1" customWidth="1"/>
    <col min="17" max="23" width="3.7109375" customWidth="1"/>
    <col min="24" max="24" width="6.7109375" customWidth="1"/>
    <col min="25" max="25" width="5.7109375" customWidth="1"/>
    <col min="27" max="27" width="21.85546875" bestFit="1" customWidth="1"/>
  </cols>
  <sheetData>
    <row r="2" spans="1:34" x14ac:dyDescent="0.25">
      <c r="A2" s="171" t="s">
        <v>1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1"/>
    </row>
    <row r="3" spans="1:34" x14ac:dyDescent="0.25">
      <c r="B3" t="s">
        <v>49</v>
      </c>
      <c r="C3" t="s">
        <v>50</v>
      </c>
      <c r="D3" s="148" t="s">
        <v>10</v>
      </c>
      <c r="E3" s="148"/>
    </row>
    <row r="4" spans="1:34" x14ac:dyDescent="0.25">
      <c r="A4" t="str">
        <f>B4&amp;C4</f>
        <v>SKV Mörfelden TitansEinradfüchse</v>
      </c>
      <c r="B4" t="str">
        <f>Spielplan!F17</f>
        <v>SKV Mörfelden Titans</v>
      </c>
      <c r="C4" t="str">
        <f>Spielplan!K17</f>
        <v>Einradfüchse</v>
      </c>
      <c r="D4" t="str">
        <f>IF(ISNUMBER(Spielplan!M17),Spielplan!M17,"")</f>
        <v/>
      </c>
      <c r="E4" t="str">
        <f>IF(ISNUMBER(Spielplan!O17),Spielplan!O17,"")</f>
        <v/>
      </c>
      <c r="G4" s="172" t="s">
        <v>47</v>
      </c>
      <c r="H4" s="173" t="s">
        <v>3</v>
      </c>
      <c r="I4" s="173" t="s">
        <v>4</v>
      </c>
      <c r="J4" s="173" t="s">
        <v>5</v>
      </c>
      <c r="K4" s="173" t="s">
        <v>6</v>
      </c>
      <c r="L4" s="173" t="s">
        <v>7</v>
      </c>
      <c r="M4" s="173" t="s">
        <v>8</v>
      </c>
      <c r="N4" s="173" t="s">
        <v>9</v>
      </c>
      <c r="P4" s="172" t="s">
        <v>46</v>
      </c>
      <c r="Q4" s="173" t="s">
        <v>3</v>
      </c>
      <c r="R4" s="173" t="s">
        <v>4</v>
      </c>
      <c r="S4" s="173" t="s">
        <v>5</v>
      </c>
      <c r="T4" s="173" t="s">
        <v>6</v>
      </c>
      <c r="U4" s="173" t="s">
        <v>7</v>
      </c>
      <c r="V4" s="173" t="s">
        <v>8</v>
      </c>
      <c r="W4" s="173" t="s">
        <v>9</v>
      </c>
      <c r="AA4" s="4" t="s">
        <v>53</v>
      </c>
      <c r="AB4" s="4" t="s">
        <v>45</v>
      </c>
      <c r="AC4" s="4" t="s">
        <v>46</v>
      </c>
      <c r="AD4" s="4" t="s">
        <v>47</v>
      </c>
      <c r="AE4" s="4" t="s">
        <v>48</v>
      </c>
      <c r="AF4" s="4" t="s">
        <v>51</v>
      </c>
      <c r="AG4" s="4" t="s">
        <v>52</v>
      </c>
    </row>
    <row r="5" spans="1:34" x14ac:dyDescent="0.25">
      <c r="A5" t="str">
        <f t="shared" ref="A5:A24" si="0">B5&amp;C5</f>
        <v>SKV Mörfelden PhönixDresdner Einradtiger</v>
      </c>
      <c r="B5" t="str">
        <f>Spielplan!F18</f>
        <v>SKV Mörfelden Phönix</v>
      </c>
      <c r="C5" t="str">
        <f>Spielplan!K18</f>
        <v>Dresdner Einradtiger</v>
      </c>
      <c r="D5" t="str">
        <f>IF(ISNUMBER(Spielplan!M18),Spielplan!M18,"")</f>
        <v/>
      </c>
      <c r="E5" t="str">
        <f>IF(ISNUMBER(Spielplan!O18),Spielplan!O18,"")</f>
        <v/>
      </c>
      <c r="G5" s="172"/>
      <c r="H5" s="173"/>
      <c r="I5" s="173"/>
      <c r="J5" s="173"/>
      <c r="K5" s="173"/>
      <c r="L5" s="173"/>
      <c r="M5" s="173"/>
      <c r="N5" s="173"/>
      <c r="P5" s="172"/>
      <c r="Q5" s="173"/>
      <c r="R5" s="173"/>
      <c r="S5" s="173"/>
      <c r="T5" s="173"/>
      <c r="U5" s="173"/>
      <c r="V5" s="173"/>
      <c r="W5" s="173"/>
      <c r="Y5">
        <f t="shared" ref="Y5:Y11" si="1">RANK(Z5,$Z$5:$Z$11)</f>
        <v>1</v>
      </c>
      <c r="Z5">
        <f t="shared" ref="Z5:Z11" si="2">10000*AC5+100*AD5+AG5</f>
        <v>0.7</v>
      </c>
      <c r="AA5" t="s">
        <v>3</v>
      </c>
      <c r="AB5">
        <f>IF(COUNT($H12:$N12)=COUNT(H12:H18),COUNT($H12:$N12),"")</f>
        <v>0</v>
      </c>
      <c r="AC5">
        <f t="shared" ref="AC5:AC11" si="3">SUM(Q12:W12)</f>
        <v>0</v>
      </c>
      <c r="AD5">
        <f t="shared" ref="AD5:AD11" si="4">SUM(H12:N12)</f>
        <v>0</v>
      </c>
      <c r="AE5">
        <f>SUM(H12:H18)</f>
        <v>0</v>
      </c>
      <c r="AF5">
        <f>AD5-AE5</f>
        <v>0</v>
      </c>
      <c r="AG5">
        <v>0.7</v>
      </c>
    </row>
    <row r="6" spans="1:34" x14ac:dyDescent="0.25">
      <c r="A6" t="str">
        <f t="shared" si="0"/>
        <v>BTC Baukau BoogaloosTV Lilienthal Moorteufel</v>
      </c>
      <c r="B6" t="str">
        <f>Spielplan!F19</f>
        <v>BTC Baukau Boogaloos</v>
      </c>
      <c r="C6" t="str">
        <f>Spielplan!K19</f>
        <v>TV Lilienthal Moorteufel</v>
      </c>
      <c r="D6" t="str">
        <f>IF(ISNUMBER(Spielplan!M19),Spielplan!M19,"")</f>
        <v/>
      </c>
      <c r="E6" t="str">
        <f>IF(ISNUMBER(Spielplan!O19),Spielplan!O19,"")</f>
        <v/>
      </c>
      <c r="G6" s="172"/>
      <c r="H6" s="173"/>
      <c r="I6" s="173"/>
      <c r="J6" s="173"/>
      <c r="K6" s="173"/>
      <c r="L6" s="173"/>
      <c r="M6" s="173"/>
      <c r="N6" s="173"/>
      <c r="P6" s="172"/>
      <c r="Q6" s="173"/>
      <c r="R6" s="173"/>
      <c r="S6" s="173"/>
      <c r="T6" s="173"/>
      <c r="U6" s="173"/>
      <c r="V6" s="173"/>
      <c r="W6" s="173"/>
      <c r="Y6">
        <f t="shared" si="1"/>
        <v>2</v>
      </c>
      <c r="Z6">
        <f t="shared" si="2"/>
        <v>0.6</v>
      </c>
      <c r="AA6" t="s">
        <v>4</v>
      </c>
      <c r="AB6">
        <f>IF(COUNT($H13:$N13)=COUNT(I12:I18),COUNT($H13:$N13),"")</f>
        <v>0</v>
      </c>
      <c r="AC6">
        <f t="shared" si="3"/>
        <v>0</v>
      </c>
      <c r="AD6">
        <f t="shared" si="4"/>
        <v>0</v>
      </c>
      <c r="AE6">
        <f>SUM(I12:I18)</f>
        <v>0</v>
      </c>
      <c r="AF6">
        <f t="shared" ref="AF6:AF11" si="5">AD6-AE6</f>
        <v>0</v>
      </c>
      <c r="AG6">
        <v>0.6</v>
      </c>
    </row>
    <row r="7" spans="1:34" x14ac:dyDescent="0.25">
      <c r="A7" t="str">
        <f t="shared" si="0"/>
        <v>Black StarsEinradfüchse</v>
      </c>
      <c r="B7" t="str">
        <f>Spielplan!F20</f>
        <v>Black Stars</v>
      </c>
      <c r="C7" t="str">
        <f>Spielplan!K20</f>
        <v>Einradfüchse</v>
      </c>
      <c r="D7" t="str">
        <f>IF(ISNUMBER(Spielplan!M20),Spielplan!M20,"")</f>
        <v/>
      </c>
      <c r="E7" t="str">
        <f>IF(ISNUMBER(Spielplan!O20),Spielplan!O20,"")</f>
        <v/>
      </c>
      <c r="G7" s="172"/>
      <c r="H7" s="173"/>
      <c r="I7" s="173"/>
      <c r="J7" s="173"/>
      <c r="K7" s="173"/>
      <c r="L7" s="173"/>
      <c r="M7" s="173"/>
      <c r="N7" s="173"/>
      <c r="P7" s="172"/>
      <c r="Q7" s="173"/>
      <c r="R7" s="173"/>
      <c r="S7" s="173"/>
      <c r="T7" s="173"/>
      <c r="U7" s="173"/>
      <c r="V7" s="173"/>
      <c r="W7" s="173"/>
      <c r="Y7">
        <f t="shared" si="1"/>
        <v>3</v>
      </c>
      <c r="Z7">
        <f t="shared" si="2"/>
        <v>0.5</v>
      </c>
      <c r="AA7" t="s">
        <v>5</v>
      </c>
      <c r="AB7">
        <f>IF(COUNT($H14:$N14)=COUNT(J12:J18),COUNT($H14:$N14),"")</f>
        <v>0</v>
      </c>
      <c r="AC7">
        <f t="shared" si="3"/>
        <v>0</v>
      </c>
      <c r="AD7">
        <f t="shared" si="4"/>
        <v>0</v>
      </c>
      <c r="AE7">
        <f>SUM(J12:J18)</f>
        <v>0</v>
      </c>
      <c r="AF7">
        <f t="shared" si="5"/>
        <v>0</v>
      </c>
      <c r="AG7">
        <v>0.5</v>
      </c>
    </row>
    <row r="8" spans="1:34" x14ac:dyDescent="0.25">
      <c r="A8" t="str">
        <f t="shared" si="0"/>
        <v>SKV Mörfelden TitansDresdner Einradtiger</v>
      </c>
      <c r="B8" t="str">
        <f>Spielplan!F21</f>
        <v>SKV Mörfelden Titans</v>
      </c>
      <c r="C8" t="str">
        <f>Spielplan!K21</f>
        <v>Dresdner Einradtiger</v>
      </c>
      <c r="D8" t="str">
        <f>IF(ISNUMBER(Spielplan!M21),Spielplan!M21,"")</f>
        <v/>
      </c>
      <c r="E8" t="str">
        <f>IF(ISNUMBER(Spielplan!O21),Spielplan!O21,"")</f>
        <v/>
      </c>
      <c r="G8" s="172"/>
      <c r="H8" s="173"/>
      <c r="I8" s="173"/>
      <c r="J8" s="173"/>
      <c r="K8" s="173"/>
      <c r="L8" s="173"/>
      <c r="M8" s="173"/>
      <c r="N8" s="173"/>
      <c r="P8" s="172"/>
      <c r="Q8" s="173"/>
      <c r="R8" s="173"/>
      <c r="S8" s="173"/>
      <c r="T8" s="173"/>
      <c r="U8" s="173"/>
      <c r="V8" s="173"/>
      <c r="W8" s="173"/>
      <c r="Y8">
        <f t="shared" si="1"/>
        <v>4</v>
      </c>
      <c r="Z8">
        <f t="shared" si="2"/>
        <v>0.4</v>
      </c>
      <c r="AA8" t="s">
        <v>6</v>
      </c>
      <c r="AB8">
        <f>IF(COUNT($H15:$N15)=COUNT(K12:K18),COUNT($H15:$N15),"")</f>
        <v>0</v>
      </c>
      <c r="AC8">
        <f t="shared" si="3"/>
        <v>0</v>
      </c>
      <c r="AD8">
        <f t="shared" si="4"/>
        <v>0</v>
      </c>
      <c r="AE8">
        <f>SUM(K12:K18)</f>
        <v>0</v>
      </c>
      <c r="AF8">
        <f t="shared" si="5"/>
        <v>0</v>
      </c>
      <c r="AG8">
        <v>0.4</v>
      </c>
    </row>
    <row r="9" spans="1:34" x14ac:dyDescent="0.25">
      <c r="A9" t="str">
        <f t="shared" si="0"/>
        <v>SKV Mörfelden PhönixTV Lilienthal Moorteufel</v>
      </c>
      <c r="B9" t="str">
        <f>Spielplan!F22</f>
        <v>SKV Mörfelden Phönix</v>
      </c>
      <c r="C9" t="str">
        <f>Spielplan!K22</f>
        <v>TV Lilienthal Moorteufel</v>
      </c>
      <c r="D9" t="str">
        <f>IF(ISNUMBER(Spielplan!M22),Spielplan!M22,"")</f>
        <v/>
      </c>
      <c r="E9" t="str">
        <f>IF(ISNUMBER(Spielplan!O22),Spielplan!O22,"")</f>
        <v/>
      </c>
      <c r="G9" s="172"/>
      <c r="H9" s="173"/>
      <c r="I9" s="173"/>
      <c r="J9" s="173"/>
      <c r="K9" s="173"/>
      <c r="L9" s="173"/>
      <c r="M9" s="173"/>
      <c r="N9" s="173"/>
      <c r="P9" s="172"/>
      <c r="Q9" s="173"/>
      <c r="R9" s="173"/>
      <c r="S9" s="173"/>
      <c r="T9" s="173"/>
      <c r="U9" s="173"/>
      <c r="V9" s="173"/>
      <c r="W9" s="173"/>
      <c r="Y9">
        <f t="shared" si="1"/>
        <v>5</v>
      </c>
      <c r="Z9">
        <f t="shared" si="2"/>
        <v>0.3</v>
      </c>
      <c r="AA9" t="s">
        <v>7</v>
      </c>
      <c r="AB9">
        <f>IF(COUNT($H16:$N16)=COUNT(L12:L18),COUNT($H16:$N16),"")</f>
        <v>0</v>
      </c>
      <c r="AC9">
        <f t="shared" si="3"/>
        <v>0</v>
      </c>
      <c r="AD9">
        <f t="shared" si="4"/>
        <v>0</v>
      </c>
      <c r="AE9">
        <f>SUM(L12:L18)</f>
        <v>0</v>
      </c>
      <c r="AF9">
        <f t="shared" si="5"/>
        <v>0</v>
      </c>
      <c r="AG9">
        <v>0.3</v>
      </c>
    </row>
    <row r="10" spans="1:34" x14ac:dyDescent="0.25">
      <c r="A10" t="str">
        <f t="shared" si="0"/>
        <v>BTC Baukau BoogaloosBlack Stars</v>
      </c>
      <c r="B10" t="str">
        <f>Spielplan!F23</f>
        <v>BTC Baukau Boogaloos</v>
      </c>
      <c r="C10" t="str">
        <f>Spielplan!K23</f>
        <v>Black Stars</v>
      </c>
      <c r="D10" t="str">
        <f>IF(ISNUMBER(Spielplan!M23),Spielplan!M23,"")</f>
        <v/>
      </c>
      <c r="E10" t="str">
        <f>IF(ISNUMBER(Spielplan!O23),Spielplan!O23,"")</f>
        <v/>
      </c>
      <c r="G10" s="172"/>
      <c r="H10" s="173"/>
      <c r="I10" s="173"/>
      <c r="J10" s="173"/>
      <c r="K10" s="173"/>
      <c r="L10" s="173"/>
      <c r="M10" s="173"/>
      <c r="N10" s="173"/>
      <c r="P10" s="172"/>
      <c r="Q10" s="173"/>
      <c r="R10" s="173"/>
      <c r="S10" s="173"/>
      <c r="T10" s="173"/>
      <c r="U10" s="173"/>
      <c r="V10" s="173"/>
      <c r="W10" s="173"/>
      <c r="Y10">
        <f t="shared" si="1"/>
        <v>6</v>
      </c>
      <c r="Z10">
        <f t="shared" si="2"/>
        <v>0.2</v>
      </c>
      <c r="AA10" t="s">
        <v>8</v>
      </c>
      <c r="AB10">
        <f>IF(COUNT($H17:$N17)=COUNT(M12:M18),COUNT($H17:$N17),"")</f>
        <v>0</v>
      </c>
      <c r="AC10">
        <f t="shared" si="3"/>
        <v>0</v>
      </c>
      <c r="AD10">
        <f t="shared" si="4"/>
        <v>0</v>
      </c>
      <c r="AE10">
        <f>SUM(M12:M18)</f>
        <v>0</v>
      </c>
      <c r="AF10">
        <f t="shared" si="5"/>
        <v>0</v>
      </c>
      <c r="AG10">
        <v>0.2</v>
      </c>
    </row>
    <row r="11" spans="1:34" x14ac:dyDescent="0.25">
      <c r="A11" t="str">
        <f t="shared" si="0"/>
        <v>Dresdner EinradtigerEinradfüchse</v>
      </c>
      <c r="B11" t="str">
        <f>Spielplan!F24</f>
        <v>Dresdner Einradtiger</v>
      </c>
      <c r="C11" t="str">
        <f>Spielplan!K24</f>
        <v>Einradfüchse</v>
      </c>
      <c r="D11" t="str">
        <f>IF(ISNUMBER(Spielplan!M24),Spielplan!M24,"")</f>
        <v/>
      </c>
      <c r="E11" t="str">
        <f>IF(ISNUMBER(Spielplan!O24),Spielplan!O24,"")</f>
        <v/>
      </c>
      <c r="G11" s="172"/>
      <c r="H11" s="173"/>
      <c r="I11" s="173"/>
      <c r="J11" s="173"/>
      <c r="K11" s="173"/>
      <c r="L11" s="173"/>
      <c r="M11" s="173"/>
      <c r="N11" s="173"/>
      <c r="P11" s="172"/>
      <c r="Q11" s="173"/>
      <c r="R11" s="173"/>
      <c r="S11" s="173"/>
      <c r="T11" s="173"/>
      <c r="U11" s="173"/>
      <c r="V11" s="173"/>
      <c r="W11" s="173"/>
      <c r="Y11">
        <f t="shared" si="1"/>
        <v>7</v>
      </c>
      <c r="Z11">
        <f t="shared" si="2"/>
        <v>0.1</v>
      </c>
      <c r="AA11" t="s">
        <v>9</v>
      </c>
      <c r="AB11">
        <f>IF(COUNT($H18:$N18)=COUNT(N12:N18),COUNT($H18:$N18),"")</f>
        <v>0</v>
      </c>
      <c r="AC11">
        <f t="shared" si="3"/>
        <v>0</v>
      </c>
      <c r="AD11">
        <f t="shared" si="4"/>
        <v>0</v>
      </c>
      <c r="AE11">
        <f>SUM(N12:N18)</f>
        <v>0</v>
      </c>
      <c r="AF11">
        <f t="shared" si="5"/>
        <v>0</v>
      </c>
      <c r="AG11">
        <v>0.1</v>
      </c>
    </row>
    <row r="12" spans="1:34" x14ac:dyDescent="0.25">
      <c r="A12" t="str">
        <f t="shared" si="0"/>
        <v>SKV Mörfelden TitansTV Lilienthal Moorteufel</v>
      </c>
      <c r="B12" t="str">
        <f>Spielplan!F25</f>
        <v>SKV Mörfelden Titans</v>
      </c>
      <c r="C12" t="str">
        <f>Spielplan!K25</f>
        <v>TV Lilienthal Moorteufel</v>
      </c>
      <c r="D12" t="str">
        <f>IF(ISNUMBER(Spielplan!M25),Spielplan!M25,"")</f>
        <v/>
      </c>
      <c r="E12" t="str">
        <f>IF(ISNUMBER(Spielplan!O25),Spielplan!O25,"")</f>
        <v/>
      </c>
      <c r="G12" t="s">
        <v>3</v>
      </c>
      <c r="H12" s="5"/>
      <c r="I12" t="str">
        <f t="shared" ref="I12:N12" si="6">VLOOKUP($G12&amp;I$4,$A$4:$E$24,4,FALSE)</f>
        <v/>
      </c>
      <c r="J12" t="str">
        <f t="shared" si="6"/>
        <v/>
      </c>
      <c r="K12" t="str">
        <f t="shared" si="6"/>
        <v/>
      </c>
      <c r="L12" t="str">
        <f t="shared" si="6"/>
        <v/>
      </c>
      <c r="M12" t="str">
        <f t="shared" si="6"/>
        <v/>
      </c>
      <c r="N12" t="str">
        <f t="shared" si="6"/>
        <v/>
      </c>
      <c r="P12" t="s">
        <v>3</v>
      </c>
      <c r="Q12" s="5"/>
      <c r="R12" t="str">
        <f>IF(AND(ISNUMBER(I12),ISNUMBER(H13)),IF(I12&gt;H13,3,IF(I12&lt;H13,0,1)),"")</f>
        <v/>
      </c>
      <c r="S12" t="str">
        <f>IF(AND(ISNUMBER(J12),ISNUMBER(H14)),IF(J12&gt;H14,3,IF(J12&lt;H14,0,1)),"")</f>
        <v/>
      </c>
      <c r="T12" t="str">
        <f>IF(AND(ISNUMBER(K12),ISNUMBER(H15)),IF(K12&gt;H15,3,IF(K12&lt;H15,0,1)),"")</f>
        <v/>
      </c>
      <c r="U12" t="str">
        <f>IF(AND(ISNUMBER(L12),ISNUMBER(H16)),IF(L12&gt;H16,3,IF(L12&lt;H16,0,1)),"")</f>
        <v/>
      </c>
      <c r="V12" t="str">
        <f>IF(AND(ISNUMBER(M12),ISNUMBER(H17)),IF(M12&gt;H17,3,IF(M12&lt;H17,0,1)),"")</f>
        <v/>
      </c>
      <c r="W12" t="str">
        <f>IF(AND(ISNUMBER(N12),ISNUMBER(H18)),IF(N12&gt;H18,3,IF(N12&lt;H18,0,1)),"")</f>
        <v/>
      </c>
      <c r="AA12" t="b">
        <f>AND(AB12,AC12)</f>
        <v>0</v>
      </c>
      <c r="AB12" t="b">
        <f>SUM(AB5:AB11)=COUNT(AB5:AB11)*(COUNTA(AA5:AA11)-1)</f>
        <v>0</v>
      </c>
      <c r="AC12" t="b" cm="1">
        <f t="array" ref="AC12">OR(COUNTIF(AC5:AC11,AC5:AC11)&gt;1)</f>
        <v>1</v>
      </c>
    </row>
    <row r="13" spans="1:34" x14ac:dyDescent="0.25">
      <c r="A13" t="str">
        <f t="shared" si="0"/>
        <v>SKV Mörfelden PhönixBlack Stars</v>
      </c>
      <c r="B13" t="str">
        <f>Spielplan!F26</f>
        <v>SKV Mörfelden Phönix</v>
      </c>
      <c r="C13" t="str">
        <f>Spielplan!K26</f>
        <v>Black Stars</v>
      </c>
      <c r="D13" t="str">
        <f>IF(ISNUMBER(Spielplan!M26),Spielplan!M26,"")</f>
        <v/>
      </c>
      <c r="E13" t="str">
        <f>IF(ISNUMBER(Spielplan!O26),Spielplan!O26,"")</f>
        <v/>
      </c>
      <c r="G13" t="s">
        <v>4</v>
      </c>
      <c r="H13" t="str">
        <f>VLOOKUP(H$4&amp;$G13,$A$4:$E$24,5,FALSE)</f>
        <v/>
      </c>
      <c r="I13" s="5"/>
      <c r="J13" t="str">
        <f t="shared" ref="J13:N16" si="7">VLOOKUP($G13&amp;J$4,$A$4:$E$24,4,FALSE)</f>
        <v/>
      </c>
      <c r="K13" t="str">
        <f t="shared" si="7"/>
        <v/>
      </c>
      <c r="L13" t="str">
        <f t="shared" si="7"/>
        <v/>
      </c>
      <c r="M13" t="str">
        <f t="shared" si="7"/>
        <v/>
      </c>
      <c r="N13" t="str">
        <f t="shared" si="7"/>
        <v/>
      </c>
      <c r="P13" t="s">
        <v>4</v>
      </c>
      <c r="Q13" t="str">
        <f>IF(AND(ISNUMBER(H13),ISNUMBER(I12)),IF(H13&gt;I12,3,IF(H13&lt;I12,0,1)),"")</f>
        <v/>
      </c>
      <c r="R13" s="5"/>
      <c r="S13" t="str">
        <f>IF(AND(ISNUMBER(J13),ISNUMBER(I14)),IF(J13&gt;I14,3,IF(J13&lt;I14,0,1)),"")</f>
        <v/>
      </c>
      <c r="T13" t="str">
        <f>IF(AND(ISNUMBER(K13),ISNUMBER(I15)),IF(K13&gt;I15,3,IF(K13&lt;I15,0,1)),"")</f>
        <v/>
      </c>
      <c r="U13" t="str">
        <f>IF(AND(ISNUMBER(L13),ISNUMBER(I16)),IF(L13&gt;I16,3,IF(L13&lt;I16,0,1)),"")</f>
        <v/>
      </c>
      <c r="V13" t="str">
        <f>IF(AND(ISNUMBER(M13),ISNUMBER(I17)),IF(M13&gt;I17,3,IF(M13&lt;I17,0,1)),"")</f>
        <v/>
      </c>
      <c r="W13" t="str">
        <f>IF(AND(ISNUMBER(N13),ISNUMBER(I18)),IF(N13&gt;I18,3,IF(N13&lt;I18,0,1)),"")</f>
        <v/>
      </c>
    </row>
    <row r="14" spans="1:34" x14ac:dyDescent="0.25">
      <c r="A14" t="str">
        <f t="shared" si="0"/>
        <v>BTC Baukau BoogaloosEinradfüchse</v>
      </c>
      <c r="B14" t="str">
        <f>Spielplan!F27</f>
        <v>BTC Baukau Boogaloos</v>
      </c>
      <c r="C14" t="str">
        <f>Spielplan!K27</f>
        <v>Einradfüchse</v>
      </c>
      <c r="D14" t="str">
        <f>IF(ISNUMBER(Spielplan!M27),Spielplan!M27,"")</f>
        <v/>
      </c>
      <c r="E14" t="str">
        <f>IF(ISNUMBER(Spielplan!O27),Spielplan!O27,"")</f>
        <v/>
      </c>
      <c r="G14" t="s">
        <v>5</v>
      </c>
      <c r="H14" t="str">
        <f t="shared" ref="H14:L18" si="8">VLOOKUP(H$4&amp;$G14,$A$4:$E$24,5,FALSE)</f>
        <v/>
      </c>
      <c r="I14" t="str">
        <f t="shared" si="8"/>
        <v/>
      </c>
      <c r="J14" s="5"/>
      <c r="K14" t="str">
        <f t="shared" si="7"/>
        <v/>
      </c>
      <c r="L14" t="str">
        <f t="shared" si="7"/>
        <v/>
      </c>
      <c r="M14" t="str">
        <f t="shared" si="7"/>
        <v/>
      </c>
      <c r="N14" t="str">
        <f t="shared" si="7"/>
        <v/>
      </c>
      <c r="P14" t="s">
        <v>5</v>
      </c>
      <c r="Q14" t="str">
        <f>IF(AND(ISNUMBER(H14),ISNUMBER(J12)),IF(H14&gt;J12,3,IF(H14&lt;J12,0,1)),"")</f>
        <v/>
      </c>
      <c r="R14" t="str">
        <f>IF(AND(ISNUMBER(I14),ISNUMBER(J13)),IF(I14&gt;J13,3,IF(I14&lt;J13,0,1)),"")</f>
        <v/>
      </c>
      <c r="S14" s="5"/>
      <c r="T14" t="str">
        <f>IF(AND(ISNUMBER(K14),ISNUMBER(J15)),IF(K14&gt;J15,3,IF(K14&lt;J15,0,1)),"")</f>
        <v/>
      </c>
      <c r="U14" t="str">
        <f>IF(AND(ISNUMBER(L14),ISNUMBER(J16)),IF(L14&gt;J16,3,IF(L14&lt;J16,0,1)),"")</f>
        <v/>
      </c>
      <c r="V14" t="str">
        <f>IF(AND(ISNUMBER(M14),ISNUMBER(J17)),IF(M14&gt;J17,3,IF(M14&lt;J17,0,1)),"")</f>
        <v/>
      </c>
      <c r="W14" t="str">
        <f>IF(AND(ISNUMBER(N14),ISNUMBER(J18)),IF(N14&gt;J18,3,IF(N14&lt;J18,0,1)),"")</f>
        <v/>
      </c>
    </row>
    <row r="15" spans="1:34" ht="15" customHeight="1" x14ac:dyDescent="0.25">
      <c r="A15" t="str">
        <f t="shared" si="0"/>
        <v>Dresdner EinradtigerTV Lilienthal Moorteufel</v>
      </c>
      <c r="B15" t="str">
        <f>Spielplan!F28</f>
        <v>Dresdner Einradtiger</v>
      </c>
      <c r="C15" t="str">
        <f>Spielplan!K28</f>
        <v>TV Lilienthal Moorteufel</v>
      </c>
      <c r="D15" t="str">
        <f>IF(ISNUMBER(Spielplan!M28),Spielplan!M28,"")</f>
        <v/>
      </c>
      <c r="E15" t="str">
        <f>IF(ISNUMBER(Spielplan!O28),Spielplan!O28,"")</f>
        <v/>
      </c>
      <c r="G15" t="s">
        <v>6</v>
      </c>
      <c r="H15" t="str">
        <f t="shared" si="8"/>
        <v/>
      </c>
      <c r="I15" t="str">
        <f t="shared" si="8"/>
        <v/>
      </c>
      <c r="J15" t="str">
        <f t="shared" si="8"/>
        <v/>
      </c>
      <c r="K15" s="5"/>
      <c r="L15" t="str">
        <f t="shared" si="7"/>
        <v/>
      </c>
      <c r="M15" t="str">
        <f t="shared" si="7"/>
        <v/>
      </c>
      <c r="N15" t="str">
        <f t="shared" si="7"/>
        <v/>
      </c>
      <c r="P15" t="s">
        <v>6</v>
      </c>
      <c r="Q15" t="str">
        <f>IF(AND(ISNUMBER(H15),ISNUMBER(K12)),IF(H15&gt;K12,3,IF(H15&lt;K12,0,1)),"")</f>
        <v/>
      </c>
      <c r="R15" t="str">
        <f>IF(AND(ISNUMBER(I15),ISNUMBER(K13)),IF(I15&gt;K13,3,IF(I15&lt;K13,0,1)),"")</f>
        <v/>
      </c>
      <c r="S15" t="str">
        <f>IF(AND(ISNUMBER(J15),ISNUMBER(K14)),IF(J15&gt;K14,3,IF(J15&lt;K14,0,1)),"")</f>
        <v/>
      </c>
      <c r="T15" s="5"/>
      <c r="U15" t="str">
        <f>IF(AND(ISNUMBER(L15),ISNUMBER(K16)),IF(L15&gt;K16,3,IF(L15&lt;K16,0,1)),"")</f>
        <v/>
      </c>
      <c r="V15" t="str">
        <f>IF(AND(ISNUMBER(M15),ISNUMBER(K17)),IF(M15&gt;K17,3,IF(M15&lt;K17,0,1)),"")</f>
        <v/>
      </c>
      <c r="W15" t="str">
        <f>IF(AND(ISNUMBER(N15),ISNUMBER(K18)),IF(N15&gt;K18,3,IF(N15&lt;K18,0,1)),"")</f>
        <v/>
      </c>
    </row>
    <row r="16" spans="1:34" x14ac:dyDescent="0.25">
      <c r="A16" t="str">
        <f t="shared" si="0"/>
        <v>SKV Mörfelden TitansBlack Stars</v>
      </c>
      <c r="B16" t="str">
        <f>Spielplan!F29</f>
        <v>SKV Mörfelden Titans</v>
      </c>
      <c r="C16" t="str">
        <f>Spielplan!K29</f>
        <v>Black Stars</v>
      </c>
      <c r="D16" t="str">
        <f>IF(ISNUMBER(Spielplan!M29),Spielplan!M29,"")</f>
        <v/>
      </c>
      <c r="E16" t="str">
        <f>IF(ISNUMBER(Spielplan!O29),Spielplan!O29,"")</f>
        <v/>
      </c>
      <c r="G16" t="s">
        <v>7</v>
      </c>
      <c r="H16" t="str">
        <f t="shared" si="8"/>
        <v/>
      </c>
      <c r="I16" t="str">
        <f t="shared" si="8"/>
        <v/>
      </c>
      <c r="J16" t="str">
        <f t="shared" si="8"/>
        <v/>
      </c>
      <c r="K16" t="str">
        <f t="shared" si="8"/>
        <v/>
      </c>
      <c r="L16" s="5"/>
      <c r="M16" t="str">
        <f t="shared" si="7"/>
        <v/>
      </c>
      <c r="N16" t="str">
        <f t="shared" si="7"/>
        <v/>
      </c>
      <c r="P16" t="s">
        <v>7</v>
      </c>
      <c r="Q16" t="str">
        <f>IF(AND(ISNUMBER(H16),ISNUMBER(L12)),IF(H16&gt;L12,3,IF(H16&lt;L12,0,1)),"")</f>
        <v/>
      </c>
      <c r="R16" t="str">
        <f>IF(AND(ISNUMBER(I16),ISNUMBER(L13)),IF(I16&gt;L13,3,IF(I16&lt;L13,0,1)),"")</f>
        <v/>
      </c>
      <c r="S16" t="str">
        <f>IF(AND(ISNUMBER(J16),ISNUMBER(L14)),IF(J16&gt;L14,3,IF(J16&lt;L14,0,1)),"")</f>
        <v/>
      </c>
      <c r="T16" t="str">
        <f>IF(AND(ISNUMBER(K16),ISNUMBER(L15)),IF(K16&gt;L15,3,IF(K16&lt;L15,0,1)),"")</f>
        <v/>
      </c>
      <c r="U16" s="5"/>
      <c r="V16" t="str">
        <f>IF(AND(ISNUMBER(M16),ISNUMBER(L17)),IF(M16&gt;L17,3,IF(M16&lt;L17,0,1)),"")</f>
        <v/>
      </c>
      <c r="W16" t="str">
        <f>IF(AND(ISNUMBER(N16),ISNUMBER(L18)),IF(N16&gt;L18,3,IF(N16&lt;L18,0,1)),"")</f>
        <v/>
      </c>
    </row>
    <row r="17" spans="1:34" x14ac:dyDescent="0.25">
      <c r="A17" t="str">
        <f t="shared" si="0"/>
        <v>SKV Mörfelden PhönixBTC Baukau Boogaloos</v>
      </c>
      <c r="B17" t="str">
        <f>Spielplan!F30</f>
        <v>SKV Mörfelden Phönix</v>
      </c>
      <c r="C17" t="str">
        <f>Spielplan!K30</f>
        <v>BTC Baukau Boogaloos</v>
      </c>
      <c r="D17" t="str">
        <f>IF(ISNUMBER(Spielplan!M30),Spielplan!M30,"")</f>
        <v/>
      </c>
      <c r="E17" t="str">
        <f>IF(ISNUMBER(Spielplan!O30),Spielplan!O30,"")</f>
        <v/>
      </c>
      <c r="G17" t="s">
        <v>8</v>
      </c>
      <c r="H17" t="str">
        <f t="shared" si="8"/>
        <v/>
      </c>
      <c r="I17" t="str">
        <f t="shared" si="8"/>
        <v/>
      </c>
      <c r="J17" t="str">
        <f t="shared" si="8"/>
        <v/>
      </c>
      <c r="K17" t="str">
        <f t="shared" si="8"/>
        <v/>
      </c>
      <c r="L17" t="str">
        <f t="shared" si="8"/>
        <v/>
      </c>
      <c r="M17" s="5"/>
      <c r="N17" t="str">
        <f>VLOOKUP($G17&amp;N$4,$A$4:$E$24,4,FALSE)</f>
        <v/>
      </c>
      <c r="P17" t="s">
        <v>8</v>
      </c>
      <c r="Q17" t="str">
        <f>IF(AND(ISNUMBER(H17),ISNUMBER(M12)),IF(H17&gt;M12,3,IF(H17&lt;M12,0,1)),"")</f>
        <v/>
      </c>
      <c r="R17" t="str">
        <f>IF(AND(ISNUMBER(I17),ISNUMBER(M13)),IF(I17&gt;M13,3,IF(I17&lt;M13,0,1)),"")</f>
        <v/>
      </c>
      <c r="S17" t="str">
        <f>IF(AND(ISNUMBER(J17),ISNUMBER(M14)),IF(J17&gt;M14,3,IF(J17&lt;M14,0,1)),"")</f>
        <v/>
      </c>
      <c r="T17" t="str">
        <f>IF(AND(ISNUMBER(K17),ISNUMBER(M15)),IF(K17&gt;M15,3,IF(K17&lt;M15,0,1)),"")</f>
        <v/>
      </c>
      <c r="U17" t="str">
        <f>IF(AND(ISNUMBER(L17),ISNUMBER(M16)),IF(L17&gt;M16,3,IF(L17&lt;M16,0,1)),"")</f>
        <v/>
      </c>
      <c r="V17" s="5"/>
      <c r="W17" t="str">
        <f>IF(AND(ISNUMBER(N17),ISNUMBER(M18)),IF(N17&gt;M18,3,IF(N17&lt;M18,0,1)),"")</f>
        <v/>
      </c>
    </row>
    <row r="18" spans="1:34" ht="15" customHeight="1" x14ac:dyDescent="0.25">
      <c r="A18" t="str">
        <f t="shared" si="0"/>
        <v>TV Lilienthal MoorteufelEinradfüchse</v>
      </c>
      <c r="B18" t="str">
        <f>Spielplan!F31</f>
        <v>TV Lilienthal Moorteufel</v>
      </c>
      <c r="C18" t="str">
        <f>Spielplan!K31</f>
        <v>Einradfüchse</v>
      </c>
      <c r="D18" t="str">
        <f>IF(ISNUMBER(Spielplan!M31),Spielplan!M31,"")</f>
        <v/>
      </c>
      <c r="E18" t="str">
        <f>IF(ISNUMBER(Spielplan!O31),Spielplan!O31,"")</f>
        <v/>
      </c>
      <c r="G18" t="s">
        <v>9</v>
      </c>
      <c r="H18" t="str">
        <f t="shared" si="8"/>
        <v/>
      </c>
      <c r="I18" t="str">
        <f t="shared" si="8"/>
        <v/>
      </c>
      <c r="J18" t="str">
        <f t="shared" si="8"/>
        <v/>
      </c>
      <c r="K18" t="str">
        <f t="shared" si="8"/>
        <v/>
      </c>
      <c r="L18" t="str">
        <f t="shared" si="8"/>
        <v/>
      </c>
      <c r="M18" t="str">
        <f>VLOOKUP(M$4&amp;$G18,$A$4:$E$24,5,FALSE)</f>
        <v/>
      </c>
      <c r="N18" s="5"/>
      <c r="P18" t="s">
        <v>9</v>
      </c>
      <c r="Q18" t="str">
        <f>IF(AND(ISNUMBER(H18),ISNUMBER(N12)),IF(H18&gt;N12,3,IF(H18&lt;N12,0,1)),"")</f>
        <v/>
      </c>
      <c r="R18" t="str">
        <f>IF(AND(ISNUMBER(I18),ISNUMBER(N13)),IF(I18&gt;N13,3,IF(I18&lt;N13,0,1)),"")</f>
        <v/>
      </c>
      <c r="S18" t="str">
        <f>IF(AND(ISNUMBER(J18),ISNUMBER(N14)),IF(J18&gt;N14,3,IF(J18&lt;N14,0,1)),"")</f>
        <v/>
      </c>
      <c r="T18" t="str">
        <f>IF(AND(ISNUMBER(K18),ISNUMBER(N14)),IF(K18&gt;N14,3,IF(K18&lt;N14,0,1)),"")</f>
        <v/>
      </c>
      <c r="U18" t="str">
        <f>IF(AND(ISNUMBER(L18),ISNUMBER(N16)),IF(L18&gt;N16,3,IF(L18&lt;N16,0,1)),"")</f>
        <v/>
      </c>
      <c r="V18" t="str">
        <f>IF(AND(ISNUMBER(M18),ISNUMBER(N17)),IF(M18&gt;N17,3,IF(M18&lt;N17,0,1)),"")</f>
        <v/>
      </c>
      <c r="W18" s="5"/>
    </row>
    <row r="19" spans="1:34" x14ac:dyDescent="0.25">
      <c r="A19" t="str">
        <f t="shared" si="0"/>
        <v>Dresdner EinradtigerBlack Stars</v>
      </c>
      <c r="B19" t="str">
        <f>Spielplan!F32</f>
        <v>Dresdner Einradtiger</v>
      </c>
      <c r="C19" t="str">
        <f>Spielplan!K32</f>
        <v>Black Stars</v>
      </c>
      <c r="D19" t="str">
        <f>IF(ISNUMBER(Spielplan!M32),Spielplan!M32,"")</f>
        <v/>
      </c>
      <c r="E19" t="str">
        <f>IF(ISNUMBER(Spielplan!O32),Spielplan!O32,"")</f>
        <v/>
      </c>
    </row>
    <row r="20" spans="1:34" x14ac:dyDescent="0.25">
      <c r="A20" t="str">
        <f t="shared" si="0"/>
        <v>SKV Mörfelden TitansBTC Baukau Boogaloos</v>
      </c>
      <c r="B20" t="str">
        <f>Spielplan!F33</f>
        <v>SKV Mörfelden Titans</v>
      </c>
      <c r="C20" t="str">
        <f>Spielplan!K33</f>
        <v>BTC Baukau Boogaloos</v>
      </c>
      <c r="D20" t="str">
        <f>IF(ISNUMBER(Spielplan!M33),Spielplan!M33,"")</f>
        <v/>
      </c>
      <c r="E20" t="str">
        <f>IF(ISNUMBER(Spielplan!O33),Spielplan!O33,"")</f>
        <v/>
      </c>
    </row>
    <row r="21" spans="1:34" ht="15" customHeight="1" x14ac:dyDescent="0.25">
      <c r="A21" t="str">
        <f t="shared" si="0"/>
        <v>SKV Mörfelden PhönixEinradfüchse</v>
      </c>
      <c r="B21" t="str">
        <f>Spielplan!F34</f>
        <v>SKV Mörfelden Phönix</v>
      </c>
      <c r="C21" t="str">
        <f>Spielplan!K34</f>
        <v>Einradfüchse</v>
      </c>
      <c r="D21" t="str">
        <f>IF(ISNUMBER(Spielplan!M34),Spielplan!M34,"")</f>
        <v/>
      </c>
      <c r="E21" t="str">
        <f>IF(ISNUMBER(Spielplan!O34),Spielplan!O34,"")</f>
        <v/>
      </c>
    </row>
    <row r="22" spans="1:34" x14ac:dyDescent="0.25">
      <c r="A22" t="str">
        <f t="shared" si="0"/>
        <v>Black StarsTV Lilienthal Moorteufel</v>
      </c>
      <c r="B22" t="str">
        <f>Spielplan!F43</f>
        <v>Black Stars</v>
      </c>
      <c r="C22" t="str">
        <f>Spielplan!K43</f>
        <v>TV Lilienthal Moorteufel</v>
      </c>
      <c r="D22" t="str">
        <f>IF(ISNUMBER(Spielplan!M43),Spielplan!M43,"")</f>
        <v/>
      </c>
      <c r="E22" t="str">
        <f>IF(ISNUMBER(Spielplan!O43),Spielplan!O43,"")</f>
        <v/>
      </c>
    </row>
    <row r="23" spans="1:34" x14ac:dyDescent="0.25">
      <c r="A23" t="str">
        <f t="shared" si="0"/>
        <v>BTC Baukau BoogaloosDresdner Einradtiger</v>
      </c>
      <c r="B23" t="str">
        <f>Spielplan!F44</f>
        <v>BTC Baukau Boogaloos</v>
      </c>
      <c r="C23" t="str">
        <f>Spielplan!K44</f>
        <v>Dresdner Einradtiger</v>
      </c>
      <c r="D23" t="str">
        <f>IF(ISNUMBER(Spielplan!M44),Spielplan!M44,"")</f>
        <v/>
      </c>
      <c r="E23" t="str">
        <f>IF(ISNUMBER(Spielplan!O44),Spielplan!O44,"")</f>
        <v/>
      </c>
    </row>
    <row r="24" spans="1:34" x14ac:dyDescent="0.25">
      <c r="A24" t="str">
        <f t="shared" si="0"/>
        <v>SKV Mörfelden PhönixSKV Mörfelden Titans</v>
      </c>
      <c r="B24" t="str">
        <f>Spielplan!F45</f>
        <v>SKV Mörfelden Phönix</v>
      </c>
      <c r="C24" t="str">
        <f>Spielplan!K45</f>
        <v>SKV Mörfelden Titans</v>
      </c>
      <c r="D24" t="str">
        <f>IF(ISNUMBER(Spielplan!M45),Spielplan!M45,"")</f>
        <v/>
      </c>
      <c r="E24" t="str">
        <f>IF(ISNUMBER(Spielplan!O45),Spielplan!O45,"")</f>
        <v/>
      </c>
    </row>
    <row r="27" spans="1:34" x14ac:dyDescent="0.25">
      <c r="A27" s="171" t="s">
        <v>56</v>
      </c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171"/>
    </row>
    <row r="29" spans="1:34" x14ac:dyDescent="0.25">
      <c r="A29" t="str">
        <f>B29&amp;C29</f>
        <v>Platz 6 der VorrundePlatz 7 der Vorrunde</v>
      </c>
      <c r="B29" t="str">
        <f>Spielplan!$F$62</f>
        <v>Platz 6 der Vorrunde</v>
      </c>
      <c r="C29" t="str">
        <f>Spielplan!$K$62</f>
        <v>Platz 7 der Vorrunde</v>
      </c>
      <c r="D29" t="str">
        <f>IF(ISNUMBER(Spielplan!M62),Spielplan!M62,"")</f>
        <v/>
      </c>
      <c r="E29" t="str">
        <f>IF(ISNUMBER(Spielplan!O62),Spielplan!O62,"")</f>
        <v/>
      </c>
      <c r="G29" s="172" t="s">
        <v>47</v>
      </c>
      <c r="H29" s="173" t="str">
        <f>G37</f>
        <v>Black Stars</v>
      </c>
      <c r="I29" s="173" t="str">
        <f>G38</f>
        <v>TV Lilienthal Moorteufel</v>
      </c>
      <c r="J29" s="173" t="str">
        <f>G39</f>
        <v>Einradfüchse</v>
      </c>
      <c r="P29" s="172" t="s">
        <v>46</v>
      </c>
      <c r="Q29" s="173" t="str">
        <f>P37</f>
        <v>Black Stars</v>
      </c>
      <c r="R29" s="173" t="str">
        <f>P38</f>
        <v>TV Lilienthal Moorteufel</v>
      </c>
      <c r="S29" s="173" t="str">
        <f>P39</f>
        <v>Einradfüchse</v>
      </c>
      <c r="AA29" s="4" t="s">
        <v>53</v>
      </c>
      <c r="AB29" s="4" t="s">
        <v>45</v>
      </c>
      <c r="AC29" s="4" t="s">
        <v>46</v>
      </c>
      <c r="AD29" s="4" t="s">
        <v>47</v>
      </c>
      <c r="AE29" s="4" t="s">
        <v>48</v>
      </c>
      <c r="AF29" s="4" t="s">
        <v>51</v>
      </c>
      <c r="AG29" s="4" t="s">
        <v>52</v>
      </c>
    </row>
    <row r="30" spans="1:34" x14ac:dyDescent="0.25">
      <c r="A30" t="str">
        <f t="shared" ref="A30:A31" si="9">B30&amp;C30</f>
        <v>Platz 5 der VorrundePlatz 7 der Vorrunde</v>
      </c>
      <c r="B30" t="str">
        <f>Spielplan!$F$64</f>
        <v>Platz 5 der Vorrunde</v>
      </c>
      <c r="C30" t="str">
        <f>Spielplan!$K$64</f>
        <v>Platz 7 der Vorrunde</v>
      </c>
      <c r="D30" t="str">
        <f>IF(ISNUMBER(Spielplan!M64),Spielplan!M64,"")</f>
        <v/>
      </c>
      <c r="E30" t="str">
        <f>IF(ISNUMBER(Spielplan!O64),Spielplan!O64,"")</f>
        <v/>
      </c>
      <c r="G30" s="172"/>
      <c r="H30" s="173"/>
      <c r="I30" s="173"/>
      <c r="J30" s="173"/>
      <c r="P30" s="172"/>
      <c r="Q30" s="173"/>
      <c r="R30" s="173"/>
      <c r="S30" s="173"/>
      <c r="Y30" t="e">
        <f>RANK(Z30,$Z$30:$Z$32)</f>
        <v>#N/A</v>
      </c>
      <c r="Z30" t="e">
        <f>10000*AC30+100*AD30+AG30</f>
        <v>#N/A</v>
      </c>
      <c r="AA30" t="str">
        <f>G37</f>
        <v>Black Stars</v>
      </c>
      <c r="AB30">
        <f>IF(COUNT($H37:$J37)=COUNT(H37:H39),COUNT($H37:$J37),"")</f>
        <v>0</v>
      </c>
      <c r="AC30">
        <f>SUM(Q37:S37)</f>
        <v>0</v>
      </c>
      <c r="AD30" t="e">
        <f>SUM(H37:J37)</f>
        <v>#N/A</v>
      </c>
      <c r="AE30" t="e">
        <f>SUM(H37:H39)</f>
        <v>#N/A</v>
      </c>
      <c r="AF30" t="e">
        <f>AD30-AE30</f>
        <v>#N/A</v>
      </c>
      <c r="AG30">
        <v>0.3</v>
      </c>
    </row>
    <row r="31" spans="1:34" x14ac:dyDescent="0.25">
      <c r="A31" t="str">
        <f t="shared" si="9"/>
        <v>Platz 5 der VorrundePlatz 6 der Vorrunde</v>
      </c>
      <c r="B31" t="str">
        <f>Spielplan!$F$66</f>
        <v>Platz 5 der Vorrunde</v>
      </c>
      <c r="C31" t="str">
        <f>Spielplan!$K$66</f>
        <v>Platz 6 der Vorrunde</v>
      </c>
      <c r="D31" t="str">
        <f>IF(ISNUMBER(Spielplan!M66),Spielplan!M66,"")</f>
        <v/>
      </c>
      <c r="E31" t="str">
        <f>IF(ISNUMBER(Spielplan!O66),Spielplan!O66,"")</f>
        <v/>
      </c>
      <c r="G31" s="172"/>
      <c r="H31" s="173"/>
      <c r="I31" s="173"/>
      <c r="J31" s="173"/>
      <c r="P31" s="172"/>
      <c r="Q31" s="173"/>
      <c r="R31" s="173"/>
      <c r="S31" s="173"/>
      <c r="Y31" t="e">
        <f t="shared" ref="Y31:Y32" si="10">RANK(Z31,$Z$30:$Z$32)</f>
        <v>#N/A</v>
      </c>
      <c r="Z31" t="e">
        <f>10000*AC31+100*AD31+AG31</f>
        <v>#N/A</v>
      </c>
      <c r="AA31" t="str">
        <f>G38</f>
        <v>TV Lilienthal Moorteufel</v>
      </c>
      <c r="AB31">
        <f>IF(COUNT($H38:$J38)=COUNT(I37:I39),COUNT($H38:$J38),"")</f>
        <v>0</v>
      </c>
      <c r="AC31">
        <f>SUM(Q38:S38)</f>
        <v>0</v>
      </c>
      <c r="AD31" t="e">
        <f>SUM(H38:J38)</f>
        <v>#N/A</v>
      </c>
      <c r="AE31" t="e">
        <f>SUM(I37:I39)</f>
        <v>#N/A</v>
      </c>
      <c r="AF31" t="e">
        <f t="shared" ref="AF31:AF32" si="11">AD31-AE31</f>
        <v>#N/A</v>
      </c>
      <c r="AG31">
        <v>0.2</v>
      </c>
    </row>
    <row r="32" spans="1:34" x14ac:dyDescent="0.25">
      <c r="G32" s="172"/>
      <c r="H32" s="173"/>
      <c r="I32" s="173"/>
      <c r="J32" s="173"/>
      <c r="P32" s="172"/>
      <c r="Q32" s="173"/>
      <c r="R32" s="173"/>
      <c r="S32" s="173"/>
      <c r="Y32" t="e">
        <f t="shared" si="10"/>
        <v>#N/A</v>
      </c>
      <c r="Z32" t="e">
        <f>10000*AC32+100*AD32+AG32</f>
        <v>#N/A</v>
      </c>
      <c r="AA32" t="str">
        <f>G39</f>
        <v>Einradfüchse</v>
      </c>
      <c r="AB32">
        <f>IF(COUNT($H39:$J39)=COUNT(J37:J39),COUNT($H39:$J39),"")</f>
        <v>0</v>
      </c>
      <c r="AC32">
        <f>SUM(Q39:S39)</f>
        <v>0</v>
      </c>
      <c r="AD32" t="e">
        <f>SUM(H39:J39)</f>
        <v>#N/A</v>
      </c>
      <c r="AE32" t="e">
        <f>SUM(J37:J39)</f>
        <v>#N/A</v>
      </c>
      <c r="AF32" t="e">
        <f t="shared" si="11"/>
        <v>#N/A</v>
      </c>
      <c r="AG32">
        <v>0.1</v>
      </c>
    </row>
    <row r="33" spans="1:34" x14ac:dyDescent="0.25">
      <c r="G33" s="172"/>
      <c r="H33" s="173"/>
      <c r="I33" s="173"/>
      <c r="J33" s="173"/>
      <c r="P33" s="172"/>
      <c r="Q33" s="173"/>
      <c r="R33" s="173"/>
      <c r="S33" s="173"/>
      <c r="AA33" t="b">
        <f>AND(AB33,AC33)</f>
        <v>0</v>
      </c>
      <c r="AB33" t="b">
        <f>SUM(AB30:AB32)=COUNT(AB30:AB32)*(COUNTA(AA30:AA32)-1)</f>
        <v>0</v>
      </c>
      <c r="AC33" t="b" cm="1">
        <f t="array" ref="AC33">OR(COUNTIF(AC30:AC32,AC30:AC32)&gt;1)</f>
        <v>1</v>
      </c>
    </row>
    <row r="34" spans="1:34" x14ac:dyDescent="0.25">
      <c r="G34" s="172"/>
      <c r="H34" s="173"/>
      <c r="I34" s="173"/>
      <c r="J34" s="173"/>
      <c r="P34" s="172"/>
      <c r="Q34" s="173"/>
      <c r="R34" s="173"/>
      <c r="S34" s="173"/>
    </row>
    <row r="35" spans="1:34" x14ac:dyDescent="0.25">
      <c r="G35" s="172"/>
      <c r="H35" s="173"/>
      <c r="I35" s="173"/>
      <c r="J35" s="173"/>
      <c r="P35" s="172"/>
      <c r="Q35" s="173"/>
      <c r="R35" s="173"/>
      <c r="S35" s="173"/>
    </row>
    <row r="36" spans="1:34" x14ac:dyDescent="0.25">
      <c r="G36" s="172"/>
      <c r="H36" s="173"/>
      <c r="I36" s="173"/>
      <c r="J36" s="173"/>
      <c r="P36" s="172"/>
      <c r="Q36" s="173"/>
      <c r="R36" s="173"/>
      <c r="S36" s="173"/>
    </row>
    <row r="37" spans="1:34" x14ac:dyDescent="0.25">
      <c r="G37" t="str">
        <f>Spielplan!C53</f>
        <v>Black Stars</v>
      </c>
      <c r="H37" s="5"/>
      <c r="I37" t="e">
        <f>VLOOKUP($G37&amp;I$29,$A$29:$E$31,4,FALSE)</f>
        <v>#N/A</v>
      </c>
      <c r="J37" t="e">
        <f t="shared" ref="J37" si="12">VLOOKUP($G37&amp;J$29,$A$29:$E$31,4,FALSE)</f>
        <v>#N/A</v>
      </c>
      <c r="P37" t="str">
        <f>G37</f>
        <v>Black Stars</v>
      </c>
      <c r="Q37" s="5"/>
      <c r="R37" t="str">
        <f>IF(AND(ISNUMBER(I37),ISNUMBER(H38)),IF(I37&gt;H38,3,IF(I37&lt;H38,0,1)),"")</f>
        <v/>
      </c>
      <c r="S37" t="str">
        <f>IF(AND(ISNUMBER(J37),ISNUMBER(H39)),IF(J37&gt;H39,3,IF(J37&lt;H39,0,1)),"")</f>
        <v/>
      </c>
    </row>
    <row r="38" spans="1:34" x14ac:dyDescent="0.25">
      <c r="G38" t="str">
        <f>Spielplan!C54</f>
        <v>TV Lilienthal Moorteufel</v>
      </c>
      <c r="H38" t="e">
        <f>VLOOKUP(H$29&amp;$G38,$A$29:$E$31,5,FALSE)</f>
        <v>#N/A</v>
      </c>
      <c r="I38" s="5"/>
      <c r="J38" t="e">
        <f>VLOOKUP($G38&amp;J$29,$A$29:$E$31,4,FALSE)</f>
        <v>#N/A</v>
      </c>
      <c r="P38" t="str">
        <f>G38</f>
        <v>TV Lilienthal Moorteufel</v>
      </c>
      <c r="Q38" t="str">
        <f>IF(AND(ISNUMBER(H38),ISNUMBER(I37)),IF(H38&gt;I37,3,IF(H38&lt;I37,0,1)),"")</f>
        <v/>
      </c>
      <c r="R38" s="5"/>
      <c r="S38" t="str">
        <f>IF(AND(ISNUMBER(J38),ISNUMBER(I39)),IF(J38&gt;I39,3,IF(J38&lt;I39,0,1)),"")</f>
        <v/>
      </c>
    </row>
    <row r="39" spans="1:34" x14ac:dyDescent="0.25">
      <c r="G39" t="str">
        <f>Spielplan!C55</f>
        <v>Einradfüchse</v>
      </c>
      <c r="H39" t="e">
        <f>VLOOKUP(H$29&amp;$G39,$A$29:$E$31,5,FALSE)</f>
        <v>#N/A</v>
      </c>
      <c r="I39" t="e">
        <f>VLOOKUP(I$29&amp;$G39,$A$29:$E$31,5,FALSE)</f>
        <v>#N/A</v>
      </c>
      <c r="J39" s="5"/>
      <c r="P39" t="str">
        <f>G39</f>
        <v>Einradfüchse</v>
      </c>
      <c r="Q39" t="str">
        <f>IF(AND(ISNUMBER(H39),ISNUMBER(J37)),IF(H39&gt;J37,3,IF(H39&lt;J37,0,1)),"")</f>
        <v/>
      </c>
      <c r="R39" t="str">
        <f>IF(AND(ISNUMBER(I39),ISNUMBER(J38)),IF(I39&gt;J38,3,IF(I39&lt;J38,0,1)),"")</f>
        <v/>
      </c>
      <c r="S39" s="5"/>
    </row>
    <row r="42" spans="1:34" x14ac:dyDescent="0.25">
      <c r="A42" s="174" t="s">
        <v>59</v>
      </c>
      <c r="B42" s="174"/>
      <c r="C42" s="174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  <c r="W42" s="174"/>
      <c r="X42" s="174"/>
      <c r="Y42" s="174"/>
      <c r="Z42" s="174"/>
      <c r="AA42" s="174"/>
      <c r="AB42" s="174"/>
      <c r="AC42" s="174"/>
      <c r="AD42" s="174"/>
      <c r="AE42" s="174"/>
      <c r="AF42" s="174"/>
      <c r="AG42" s="174"/>
      <c r="AH42" s="174"/>
    </row>
    <row r="43" spans="1:34" x14ac:dyDescent="0.25">
      <c r="A43" s="171" t="s">
        <v>60</v>
      </c>
      <c r="B43" s="171"/>
      <c r="C43" s="171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  <c r="AA43" s="171"/>
      <c r="AB43" s="171"/>
      <c r="AC43" s="171"/>
      <c r="AD43" s="171"/>
      <c r="AE43" s="171"/>
      <c r="AF43" s="171"/>
      <c r="AG43" s="171"/>
      <c r="AH43" s="171"/>
    </row>
    <row r="45" spans="1:34" x14ac:dyDescent="0.25">
      <c r="A45" t="s">
        <v>64</v>
      </c>
      <c r="B45" t="str">
        <f>Vergleich!C6</f>
        <v>Vorrunde</v>
      </c>
      <c r="C45" t="str">
        <f>IF(B45="Vorrunde",ADDRESS(ROW($A$4),COLUMN($A$4),1,1)&amp;":"&amp;ADDRESS(ROW($E$24),COLUMN($E$24),1,1),ADDRESS(ROW($A$29),COLUMN($A$29),1,1)&amp;":"&amp;ADDRESS(ROW($E$31),COLUMN($E$31),1,1))</f>
        <v>$A$4:$E$24</v>
      </c>
    </row>
    <row r="47" spans="1:34" x14ac:dyDescent="0.25">
      <c r="A47" t="e">
        <f>RANK(C47,$C$47:$C$48,1)</f>
        <v>#N/A</v>
      </c>
      <c r="B47">
        <f>Vergleich!C7</f>
        <v>0</v>
      </c>
      <c r="C47" t="e">
        <f>MATCH(B47,Spielplan!$C$7:$C$13,0)</f>
        <v>#N/A</v>
      </c>
      <c r="G47" s="172" t="s">
        <v>47</v>
      </c>
      <c r="H47" s="173" t="e">
        <f>G55</f>
        <v>#N/A</v>
      </c>
      <c r="I47" s="173" t="e">
        <f>G56</f>
        <v>#N/A</v>
      </c>
      <c r="P47" s="172" t="s">
        <v>46</v>
      </c>
      <c r="Q47" s="173" t="e">
        <f>H47</f>
        <v>#N/A</v>
      </c>
      <c r="R47" s="173" t="e">
        <f>I47</f>
        <v>#N/A</v>
      </c>
      <c r="AA47" s="4" t="s">
        <v>53</v>
      </c>
      <c r="AB47" s="4" t="s">
        <v>45</v>
      </c>
      <c r="AC47" s="4" t="s">
        <v>46</v>
      </c>
      <c r="AD47" s="4" t="s">
        <v>47</v>
      </c>
      <c r="AE47" s="4" t="s">
        <v>48</v>
      </c>
      <c r="AF47" s="4" t="s">
        <v>51</v>
      </c>
      <c r="AG47" s="4" t="s">
        <v>52</v>
      </c>
    </row>
    <row r="48" spans="1:34" x14ac:dyDescent="0.25">
      <c r="A48" t="e">
        <f>RANK(C48,$C$47:$C$48,1)</f>
        <v>#N/A</v>
      </c>
      <c r="B48">
        <f>Vergleich!C8</f>
        <v>0</v>
      </c>
      <c r="C48" t="e">
        <f>MATCH(B48,Spielplan!$C$7:$C$13,0)</f>
        <v>#N/A</v>
      </c>
      <c r="G48" s="172"/>
      <c r="H48" s="173"/>
      <c r="I48" s="173"/>
      <c r="P48" s="172"/>
      <c r="Q48" s="173"/>
      <c r="R48" s="173"/>
      <c r="Y48" t="e">
        <f>RANK(Z48,$Z$48:$Z$49)</f>
        <v>#N/A</v>
      </c>
      <c r="Z48" t="e">
        <f t="shared" ref="Z48:Z49" si="13">10000*AC48+1000*AF48+100*AD48+AG48</f>
        <v>#N/A</v>
      </c>
      <c r="AA48" t="e">
        <f>G55</f>
        <v>#N/A</v>
      </c>
      <c r="AB48">
        <f>IF(COUNT($H55:$I55)=COUNT(H55:H56),COUNT($H55:$I55),"")</f>
        <v>0</v>
      </c>
      <c r="AC48">
        <f>SUM(Q55:R55)</f>
        <v>0</v>
      </c>
      <c r="AD48" t="e">
        <f>SUM(H55:I55)</f>
        <v>#N/A</v>
      </c>
      <c r="AE48" t="e">
        <f>SUM(H55:H56)</f>
        <v>#N/A</v>
      </c>
      <c r="AF48" t="e">
        <f>AD48-AE48</f>
        <v>#N/A</v>
      </c>
      <c r="AG48">
        <v>0.2</v>
      </c>
    </row>
    <row r="49" spans="1:34" x14ac:dyDescent="0.25">
      <c r="G49" s="172"/>
      <c r="H49" s="173"/>
      <c r="I49" s="173"/>
      <c r="P49" s="172"/>
      <c r="Q49" s="173"/>
      <c r="R49" s="173"/>
      <c r="Y49" t="e">
        <f>RANK(Z49,$Z$48:$Z$49)</f>
        <v>#N/A</v>
      </c>
      <c r="Z49" t="e">
        <f t="shared" si="13"/>
        <v>#N/A</v>
      </c>
      <c r="AA49" t="e">
        <f>G56</f>
        <v>#N/A</v>
      </c>
      <c r="AB49">
        <f>IF(COUNT($H56:$I56)=COUNT(I55:I56),COUNT($H56:$I56),"")</f>
        <v>0</v>
      </c>
      <c r="AC49">
        <f>SUM(Q56:R56)</f>
        <v>0</v>
      </c>
      <c r="AD49" t="e">
        <f>SUM(H56:I56)</f>
        <v>#N/A</v>
      </c>
      <c r="AE49" t="e">
        <f>SUM(I55:I56)</f>
        <v>#N/A</v>
      </c>
      <c r="AF49" t="e">
        <f t="shared" ref="AF49" si="14">AD49-AE49</f>
        <v>#N/A</v>
      </c>
      <c r="AG49">
        <v>0.1</v>
      </c>
    </row>
    <row r="50" spans="1:34" x14ac:dyDescent="0.25">
      <c r="A50">
        <v>1</v>
      </c>
      <c r="B50" t="e">
        <f>VLOOKUP(A50,$A$47:$C$48,2,FALSE)</f>
        <v>#N/A</v>
      </c>
      <c r="G50" s="172"/>
      <c r="H50" s="173"/>
      <c r="I50" s="173"/>
      <c r="P50" s="172"/>
      <c r="Q50" s="173"/>
      <c r="R50" s="173"/>
    </row>
    <row r="51" spans="1:34" x14ac:dyDescent="0.25">
      <c r="A51">
        <v>2</v>
      </c>
      <c r="B51" t="e">
        <f>VLOOKUP(A51,$A$47:$C$48,2,FALSE)</f>
        <v>#N/A</v>
      </c>
      <c r="G51" s="172"/>
      <c r="H51" s="173"/>
      <c r="I51" s="173"/>
      <c r="P51" s="172"/>
      <c r="Q51" s="173"/>
      <c r="R51" s="173"/>
    </row>
    <row r="52" spans="1:34" x14ac:dyDescent="0.25">
      <c r="G52" s="172"/>
      <c r="H52" s="173"/>
      <c r="I52" s="173"/>
      <c r="P52" s="172"/>
      <c r="Q52" s="173"/>
      <c r="R52" s="173"/>
    </row>
    <row r="53" spans="1:34" x14ac:dyDescent="0.25">
      <c r="G53" s="172"/>
      <c r="H53" s="173"/>
      <c r="I53" s="173"/>
      <c r="P53" s="172"/>
      <c r="Q53" s="173"/>
      <c r="R53" s="173"/>
    </row>
    <row r="54" spans="1:34" x14ac:dyDescent="0.25">
      <c r="G54" s="172"/>
      <c r="H54" s="173"/>
      <c r="I54" s="173"/>
      <c r="P54" s="172"/>
      <c r="Q54" s="173"/>
      <c r="R54" s="173"/>
    </row>
    <row r="55" spans="1:34" x14ac:dyDescent="0.25">
      <c r="G55" t="e">
        <f>B50</f>
        <v>#N/A</v>
      </c>
      <c r="H55" s="5"/>
      <c r="I55" t="e">
        <f>VLOOKUP($G55&amp;I$47,$A$4:$E$24,4,FALSE)</f>
        <v>#N/A</v>
      </c>
      <c r="P55" t="e">
        <f>G55</f>
        <v>#N/A</v>
      </c>
      <c r="Q55" s="5"/>
      <c r="R55" t="str">
        <f>IF(AND(ISNUMBER(I55),ISNUMBER(H56)),IF(I55&gt;H56,3,IF(I55&lt;H56,0,1)),"")</f>
        <v/>
      </c>
    </row>
    <row r="56" spans="1:34" x14ac:dyDescent="0.25">
      <c r="G56" t="e">
        <f>B51</f>
        <v>#N/A</v>
      </c>
      <c r="H56" t="e">
        <f>VLOOKUP(H$47&amp;$G56,$A$4:$E$24,5,FALSE)</f>
        <v>#N/A</v>
      </c>
      <c r="I56" s="5"/>
      <c r="P56" t="e">
        <f>G56</f>
        <v>#N/A</v>
      </c>
      <c r="Q56" t="str">
        <f>IF(AND(ISNUMBER(H56),ISNUMBER(I55)),IF(H56&gt;I55,3,IF(H56&lt;I55,0,1)),"")</f>
        <v/>
      </c>
      <c r="R56" s="5"/>
    </row>
    <row r="60" spans="1:34" x14ac:dyDescent="0.25">
      <c r="A60" s="171" t="s">
        <v>67</v>
      </c>
      <c r="B60" s="171"/>
      <c r="C60" s="171"/>
      <c r="D60" s="171"/>
      <c r="E60" s="171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  <c r="AA60" s="171"/>
      <c r="AB60" s="171"/>
      <c r="AC60" s="171"/>
      <c r="AD60" s="171"/>
      <c r="AE60" s="171"/>
      <c r="AF60" s="171"/>
      <c r="AG60" s="171"/>
      <c r="AH60" s="171"/>
    </row>
    <row r="62" spans="1:34" x14ac:dyDescent="0.25">
      <c r="A62" t="s">
        <v>64</v>
      </c>
      <c r="B62" t="str">
        <f>Vergleich!C17</f>
        <v>Vorrunde</v>
      </c>
      <c r="C62" t="str">
        <f>IF(B62="Vorrunde",ADDRESS(ROW($A$4),COLUMN($A$4),1,1)&amp;":"&amp;ADDRESS(ROW($E$24),COLUMN($E$24),1,1),ADDRESS(ROW($A$29),COLUMN($A$29),1,1)&amp;":"&amp;ADDRESS(ROW($E$31),COLUMN($E$31),1,1))</f>
        <v>$A$4:$E$24</v>
      </c>
    </row>
    <row r="64" spans="1:34" ht="15" customHeight="1" x14ac:dyDescent="0.25">
      <c r="A64" t="e">
        <f>RANK(C64,$C$64:$C$66,1)</f>
        <v>#N/A</v>
      </c>
      <c r="B64">
        <f>Vergleich!C18</f>
        <v>0</v>
      </c>
      <c r="C64" t="e">
        <f>MATCH(B64,Spielplan!$C$7:$C$13,0)</f>
        <v>#N/A</v>
      </c>
      <c r="D64" t="str">
        <f t="shared" ref="D64:E75" ca="1" si="15">IFERROR(VLOOKUP($A64,INDIRECT($C$45),COLUMN(),FALSE),"")</f>
        <v/>
      </c>
      <c r="E64" t="str">
        <f t="shared" ca="1" si="15"/>
        <v/>
      </c>
      <c r="G64" s="172" t="s">
        <v>47</v>
      </c>
      <c r="H64" s="173" t="e">
        <f>G72</f>
        <v>#N/A</v>
      </c>
      <c r="I64" s="173" t="e">
        <f>G73</f>
        <v>#N/A</v>
      </c>
      <c r="J64" s="173" t="e">
        <f>G74</f>
        <v>#N/A</v>
      </c>
      <c r="P64" s="172" t="s">
        <v>46</v>
      </c>
      <c r="Q64" s="173" t="e">
        <f t="shared" ref="Q64:S64" si="16">H64</f>
        <v>#N/A</v>
      </c>
      <c r="R64" s="173" t="e">
        <f t="shared" si="16"/>
        <v>#N/A</v>
      </c>
      <c r="S64" s="173" t="e">
        <f t="shared" si="16"/>
        <v>#N/A</v>
      </c>
      <c r="AA64" s="4" t="s">
        <v>53</v>
      </c>
      <c r="AB64" s="4" t="s">
        <v>45</v>
      </c>
      <c r="AC64" s="4" t="s">
        <v>46</v>
      </c>
      <c r="AD64" s="4" t="s">
        <v>47</v>
      </c>
      <c r="AE64" s="4" t="s">
        <v>48</v>
      </c>
      <c r="AF64" s="4" t="s">
        <v>51</v>
      </c>
      <c r="AG64" s="4" t="s">
        <v>52</v>
      </c>
    </row>
    <row r="65" spans="1:34" x14ac:dyDescent="0.25">
      <c r="A65" t="e">
        <f t="shared" ref="A65:A66" si="17">RANK(C65,$C$64:$C$66,1)</f>
        <v>#N/A</v>
      </c>
      <c r="B65">
        <f>Vergleich!C19</f>
        <v>0</v>
      </c>
      <c r="C65" t="e">
        <f>MATCH(B65,Spielplan!$C$7:$C$13,0)</f>
        <v>#N/A</v>
      </c>
      <c r="D65" t="str">
        <f t="shared" ca="1" si="15"/>
        <v/>
      </c>
      <c r="E65" t="str">
        <f t="shared" ca="1" si="15"/>
        <v/>
      </c>
      <c r="G65" s="172"/>
      <c r="H65" s="173"/>
      <c r="I65" s="173"/>
      <c r="J65" s="173"/>
      <c r="P65" s="172"/>
      <c r="Q65" s="173"/>
      <c r="R65" s="173"/>
      <c r="S65" s="173"/>
      <c r="Y65" t="e">
        <f>RANK(Z65,$Z$65:$Z$67)</f>
        <v>#N/A</v>
      </c>
      <c r="Z65" t="e">
        <f t="shared" ref="Z65:Z67" si="18">10000*AC65+1000*AF65+100*AD65+AG65</f>
        <v>#N/A</v>
      </c>
      <c r="AA65" t="e">
        <f>G72</f>
        <v>#N/A</v>
      </c>
      <c r="AB65">
        <f>IF(COUNT($H72:$J72)=COUNT(H72:H74),COUNT($H72:$J72),"")</f>
        <v>0</v>
      </c>
      <c r="AC65">
        <f>SUM(Q72:S72)</f>
        <v>0</v>
      </c>
      <c r="AD65" t="e">
        <f>SUM(H72:J72)</f>
        <v>#N/A</v>
      </c>
      <c r="AE65" t="e">
        <f>SUM(H72:H74)</f>
        <v>#N/A</v>
      </c>
      <c r="AF65" t="e">
        <f>AD65-AE65</f>
        <v>#N/A</v>
      </c>
      <c r="AG65">
        <v>0.3</v>
      </c>
    </row>
    <row r="66" spans="1:34" x14ac:dyDescent="0.25">
      <c r="A66" t="e">
        <f t="shared" si="17"/>
        <v>#N/A</v>
      </c>
      <c r="B66">
        <f>Vergleich!C20</f>
        <v>0</v>
      </c>
      <c r="C66" t="e">
        <f>MATCH(B66,Spielplan!$C$7:$C$13,0)</f>
        <v>#N/A</v>
      </c>
      <c r="D66" t="str">
        <f t="shared" ca="1" si="15"/>
        <v/>
      </c>
      <c r="E66" t="str">
        <f t="shared" ca="1" si="15"/>
        <v/>
      </c>
      <c r="G66" s="172"/>
      <c r="H66" s="173"/>
      <c r="I66" s="173"/>
      <c r="J66" s="173"/>
      <c r="P66" s="172"/>
      <c r="Q66" s="173"/>
      <c r="R66" s="173"/>
      <c r="S66" s="173"/>
      <c r="Y66" t="e">
        <f>RANK(Z66,$Z$65:$Z$67)</f>
        <v>#N/A</v>
      </c>
      <c r="Z66" t="e">
        <f t="shared" si="18"/>
        <v>#N/A</v>
      </c>
      <c r="AA66" t="e">
        <f>G73</f>
        <v>#N/A</v>
      </c>
      <c r="AB66">
        <f>IF(COUNT($H73:$J73)=COUNT(I72:I74),COUNT($H73:$J73),"")</f>
        <v>0</v>
      </c>
      <c r="AC66">
        <f>SUM(Q73:S73)</f>
        <v>0</v>
      </c>
      <c r="AD66" t="e">
        <f>SUM(H73:J73)</f>
        <v>#N/A</v>
      </c>
      <c r="AE66" t="e">
        <f>SUM(I72:I74)</f>
        <v>#N/A</v>
      </c>
      <c r="AF66" t="e">
        <f t="shared" ref="AF66:AF67" si="19">AD66-AE66</f>
        <v>#N/A</v>
      </c>
      <c r="AG66">
        <v>0.2</v>
      </c>
    </row>
    <row r="67" spans="1:34" x14ac:dyDescent="0.25">
      <c r="D67" t="str">
        <f t="shared" ca="1" si="15"/>
        <v/>
      </c>
      <c r="E67" t="str">
        <f t="shared" ca="1" si="15"/>
        <v/>
      </c>
      <c r="G67" s="172"/>
      <c r="H67" s="173"/>
      <c r="I67" s="173"/>
      <c r="J67" s="173"/>
      <c r="P67" s="172"/>
      <c r="Q67" s="173"/>
      <c r="R67" s="173"/>
      <c r="S67" s="173"/>
      <c r="Y67" t="e">
        <f>RANK(Z67,$Z$65:$Z$67)</f>
        <v>#N/A</v>
      </c>
      <c r="Z67" t="e">
        <f t="shared" si="18"/>
        <v>#N/A</v>
      </c>
      <c r="AA67" t="e">
        <f>G74</f>
        <v>#N/A</v>
      </c>
      <c r="AB67">
        <f>IF(COUNT($H74:$J74)=COUNT(J72:J74),COUNT($H74:$J74),"")</f>
        <v>0</v>
      </c>
      <c r="AC67">
        <f>SUM(Q74:S74)</f>
        <v>0</v>
      </c>
      <c r="AD67" t="e">
        <f>SUM(H74:J74)</f>
        <v>#N/A</v>
      </c>
      <c r="AE67" t="e">
        <f>SUM(J72:J74)</f>
        <v>#N/A</v>
      </c>
      <c r="AF67" t="e">
        <f t="shared" si="19"/>
        <v>#N/A</v>
      </c>
      <c r="AG67">
        <v>0.1</v>
      </c>
    </row>
    <row r="68" spans="1:34" x14ac:dyDescent="0.25">
      <c r="A68">
        <v>1</v>
      </c>
      <c r="B68" t="e">
        <f>VLOOKUP(A68,$A$64:$C$66,2,FALSE)</f>
        <v>#N/A</v>
      </c>
      <c r="D68" t="str">
        <f t="shared" ca="1" si="15"/>
        <v/>
      </c>
      <c r="E68" t="str">
        <f t="shared" ca="1" si="15"/>
        <v/>
      </c>
      <c r="G68" s="172"/>
      <c r="H68" s="173"/>
      <c r="I68" s="173"/>
      <c r="J68" s="173"/>
      <c r="P68" s="172"/>
      <c r="Q68" s="173"/>
      <c r="R68" s="173"/>
      <c r="S68" s="173"/>
    </row>
    <row r="69" spans="1:34" x14ac:dyDescent="0.25">
      <c r="A69">
        <v>2</v>
      </c>
      <c r="B69" t="e">
        <f t="shared" ref="B69:B70" si="20">VLOOKUP(A69,$A$64:$C$66,2,FALSE)</f>
        <v>#N/A</v>
      </c>
      <c r="D69" t="str">
        <f t="shared" ca="1" si="15"/>
        <v/>
      </c>
      <c r="E69" t="str">
        <f t="shared" ca="1" si="15"/>
        <v/>
      </c>
      <c r="G69" s="172"/>
      <c r="H69" s="173"/>
      <c r="I69" s="173"/>
      <c r="J69" s="173"/>
      <c r="P69" s="172"/>
      <c r="Q69" s="173"/>
      <c r="R69" s="173"/>
      <c r="S69" s="173"/>
    </row>
    <row r="70" spans="1:34" x14ac:dyDescent="0.25">
      <c r="A70">
        <v>3</v>
      </c>
      <c r="B70" t="e">
        <f t="shared" si="20"/>
        <v>#N/A</v>
      </c>
      <c r="D70" t="str">
        <f t="shared" ca="1" si="15"/>
        <v/>
      </c>
      <c r="E70" t="str">
        <f t="shared" ca="1" si="15"/>
        <v/>
      </c>
      <c r="G70" s="172"/>
      <c r="H70" s="173"/>
      <c r="I70" s="173"/>
      <c r="J70" s="173"/>
      <c r="P70" s="172"/>
      <c r="Q70" s="173"/>
      <c r="R70" s="173"/>
      <c r="S70" s="173"/>
    </row>
    <row r="71" spans="1:34" x14ac:dyDescent="0.25">
      <c r="D71" t="str">
        <f t="shared" ca="1" si="15"/>
        <v/>
      </c>
      <c r="E71" t="str">
        <f t="shared" ca="1" si="15"/>
        <v/>
      </c>
      <c r="G71" s="172"/>
      <c r="H71" s="173"/>
      <c r="I71" s="173"/>
      <c r="J71" s="173"/>
      <c r="P71" s="172"/>
      <c r="Q71" s="173"/>
      <c r="R71" s="173"/>
      <c r="S71" s="173"/>
    </row>
    <row r="72" spans="1:34" x14ac:dyDescent="0.25">
      <c r="D72" t="str">
        <f t="shared" ca="1" si="15"/>
        <v/>
      </c>
      <c r="E72" t="str">
        <f t="shared" ca="1" si="15"/>
        <v/>
      </c>
      <c r="G72" t="e">
        <f t="shared" ref="G72:G74" si="21">B68</f>
        <v>#N/A</v>
      </c>
      <c r="H72" s="5"/>
      <c r="I72" t="e">
        <f>VLOOKUP($G72&amp;I$64,$A$4:$E$24,4,FALSE)</f>
        <v>#N/A</v>
      </c>
      <c r="J72" t="e">
        <f>VLOOKUP($G72&amp;J$64,$A$4:$E$24,4,FALSE)</f>
        <v>#N/A</v>
      </c>
      <c r="P72" t="e">
        <f>G72</f>
        <v>#N/A</v>
      </c>
      <c r="Q72" s="5"/>
      <c r="R72" t="str">
        <f>IF(AND(ISNUMBER(I72),ISNUMBER(H73)),IF(I72&gt;H73,3,IF(I72&lt;H73,0,1)),"")</f>
        <v/>
      </c>
      <c r="S72" t="str">
        <f>IF(AND(ISNUMBER(J72),ISNUMBER(H74)),IF(J72&gt;H74,3,IF(J72&lt;H74,0,1)),"")</f>
        <v/>
      </c>
    </row>
    <row r="73" spans="1:34" x14ac:dyDescent="0.25">
      <c r="D73" t="str">
        <f t="shared" ca="1" si="15"/>
        <v/>
      </c>
      <c r="E73" t="str">
        <f t="shared" ca="1" si="15"/>
        <v/>
      </c>
      <c r="G73" t="e">
        <f t="shared" si="21"/>
        <v>#N/A</v>
      </c>
      <c r="H73" t="e">
        <f>VLOOKUP(H$64&amp;$G73,$A$4:$E$24,5,FALSE)</f>
        <v>#N/A</v>
      </c>
      <c r="I73" s="5"/>
      <c r="J73" t="e">
        <f>VLOOKUP($G73&amp;J$64,$A$4:$E$24,4,FALSE)</f>
        <v>#N/A</v>
      </c>
      <c r="P73" t="e">
        <f>G73</f>
        <v>#N/A</v>
      </c>
      <c r="Q73" t="str">
        <f>IF(AND(ISNUMBER(H73),ISNUMBER(I72)),IF(H73&gt;I72,3,IF(H73&lt;I72,0,1)),"")</f>
        <v/>
      </c>
      <c r="R73" s="5"/>
      <c r="S73" t="str">
        <f>IF(AND(ISNUMBER(J73),ISNUMBER(I74)),IF(J73&gt;I74,3,IF(J73&lt;I74,0,1)),"")</f>
        <v/>
      </c>
    </row>
    <row r="74" spans="1:34" x14ac:dyDescent="0.25">
      <c r="D74" t="str">
        <f t="shared" ca="1" si="15"/>
        <v/>
      </c>
      <c r="E74" t="str">
        <f t="shared" ca="1" si="15"/>
        <v/>
      </c>
      <c r="G74" t="e">
        <f t="shared" si="21"/>
        <v>#N/A</v>
      </c>
      <c r="H74" t="e">
        <f>VLOOKUP(H$64&amp;$G74,$A$4:$E$24,5,FALSE)</f>
        <v>#N/A</v>
      </c>
      <c r="I74" t="e">
        <f>VLOOKUP(I$64&amp;$G74,$A$4:$E$24,5,FALSE)</f>
        <v>#N/A</v>
      </c>
      <c r="J74" s="5"/>
      <c r="P74" t="e">
        <f>G74</f>
        <v>#N/A</v>
      </c>
      <c r="Q74" t="str">
        <f>IF(AND(ISNUMBER(H74),ISNUMBER(J72)),IF(H74&gt;J72,3,IF(H74&lt;J72,0,1)),"")</f>
        <v/>
      </c>
      <c r="R74" t="str">
        <f>IF(AND(ISNUMBER(I74),ISNUMBER(J73)),IF(I74&gt;J73,3,IF(I74&lt;J73,0,1)),"")</f>
        <v/>
      </c>
      <c r="S74" s="5"/>
    </row>
    <row r="75" spans="1:34" x14ac:dyDescent="0.25">
      <c r="D75" t="str">
        <f t="shared" ca="1" si="15"/>
        <v/>
      </c>
      <c r="E75" t="str">
        <f t="shared" ca="1" si="15"/>
        <v/>
      </c>
    </row>
    <row r="78" spans="1:34" x14ac:dyDescent="0.25">
      <c r="A78" s="171" t="s">
        <v>70</v>
      </c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  <c r="AA78" s="171"/>
      <c r="AB78" s="171"/>
      <c r="AC78" s="171"/>
      <c r="AD78" s="171"/>
      <c r="AE78" s="171"/>
      <c r="AF78" s="171"/>
      <c r="AG78" s="171"/>
      <c r="AH78" s="171"/>
    </row>
    <row r="80" spans="1:34" x14ac:dyDescent="0.25">
      <c r="A80" t="s">
        <v>64</v>
      </c>
      <c r="B80" t="str">
        <f>Vergleich!C30</f>
        <v>Vorrunde</v>
      </c>
      <c r="C80" t="str">
        <f>IF(B80="Vorrunde",ADDRESS(ROW($A$4),COLUMN($A$4),1,1)&amp;":"&amp;ADDRESS(ROW($E$24),COLUMN($E$24),1,1),ADDRESS(ROW($A$29),COLUMN($A$29),1,1)&amp;":"&amp;ADDRESS(ROW($E$31),COLUMN($E$31),1,1))</f>
        <v>$A$4:$E$24</v>
      </c>
    </row>
    <row r="82" spans="1:33" x14ac:dyDescent="0.25">
      <c r="A82" t="e">
        <f>RANK(C82,$C$82:$C$85,1)</f>
        <v>#N/A</v>
      </c>
      <c r="B82">
        <f>Vergleich!C31</f>
        <v>0</v>
      </c>
      <c r="C82" t="e">
        <f>MATCH(B82,Spielplan!$C$7:$C$13,0)</f>
        <v>#N/A</v>
      </c>
      <c r="G82" s="172" t="s">
        <v>47</v>
      </c>
      <c r="H82" s="173" t="e">
        <f>G90</f>
        <v>#N/A</v>
      </c>
      <c r="I82" s="173" t="e">
        <f>G91</f>
        <v>#N/A</v>
      </c>
      <c r="J82" s="173" t="e">
        <f>G92</f>
        <v>#N/A</v>
      </c>
      <c r="K82" s="173" t="e">
        <f>G93</f>
        <v>#N/A</v>
      </c>
      <c r="P82" s="172" t="s">
        <v>46</v>
      </c>
      <c r="Q82" s="173" t="e">
        <f t="shared" ref="Q82:T82" si="22">H82</f>
        <v>#N/A</v>
      </c>
      <c r="R82" s="173" t="e">
        <f t="shared" si="22"/>
        <v>#N/A</v>
      </c>
      <c r="S82" s="173" t="e">
        <f t="shared" si="22"/>
        <v>#N/A</v>
      </c>
      <c r="T82" s="173" t="e">
        <f t="shared" si="22"/>
        <v>#N/A</v>
      </c>
      <c r="AA82" s="4" t="s">
        <v>53</v>
      </c>
      <c r="AB82" s="4" t="s">
        <v>45</v>
      </c>
      <c r="AC82" s="4" t="s">
        <v>46</v>
      </c>
      <c r="AD82" s="4" t="s">
        <v>47</v>
      </c>
      <c r="AE82" s="4" t="s">
        <v>48</v>
      </c>
      <c r="AF82" s="4" t="s">
        <v>51</v>
      </c>
      <c r="AG82" s="4" t="s">
        <v>52</v>
      </c>
    </row>
    <row r="83" spans="1:33" x14ac:dyDescent="0.25">
      <c r="A83" t="e">
        <f>RANK(C83,$C$82:$C$85,1)</f>
        <v>#N/A</v>
      </c>
      <c r="B83">
        <f>Vergleich!C32</f>
        <v>0</v>
      </c>
      <c r="C83" t="e">
        <f>MATCH(B83,Spielplan!$C$7:$C$13,0)</f>
        <v>#N/A</v>
      </c>
      <c r="G83" s="172"/>
      <c r="H83" s="173"/>
      <c r="I83" s="173"/>
      <c r="J83" s="173"/>
      <c r="K83" s="173"/>
      <c r="P83" s="172"/>
      <c r="Q83" s="173"/>
      <c r="R83" s="173"/>
      <c r="S83" s="173"/>
      <c r="T83" s="173"/>
      <c r="Y83" t="e">
        <f>RANK(Z83,$Z$83:$Z$86)</f>
        <v>#N/A</v>
      </c>
      <c r="Z83" t="e">
        <f t="shared" ref="Z83:Z86" si="23">10000*AC83+1000*AF83+100*AD83+AG83</f>
        <v>#N/A</v>
      </c>
      <c r="AA83" t="e">
        <f>B87</f>
        <v>#N/A</v>
      </c>
      <c r="AB83">
        <f>IF(COUNT($H90:$K90)=COUNT(H90:H93),COUNT($H90:$K90),"")</f>
        <v>0</v>
      </c>
      <c r="AC83">
        <f>SUM(Q90:T90)</f>
        <v>0</v>
      </c>
      <c r="AD83" t="e">
        <f>SUM(H90:K90)</f>
        <v>#N/A</v>
      </c>
      <c r="AE83" t="e">
        <f>SUM(H90:H93)</f>
        <v>#N/A</v>
      </c>
      <c r="AF83" t="e">
        <f t="shared" ref="AF83:AF86" si="24">AD83-AE83</f>
        <v>#N/A</v>
      </c>
      <c r="AG83">
        <v>0.4</v>
      </c>
    </row>
    <row r="84" spans="1:33" x14ac:dyDescent="0.25">
      <c r="A84" t="e">
        <f>RANK(C84,$C$82:$C$85,1)</f>
        <v>#N/A</v>
      </c>
      <c r="B84">
        <f>Vergleich!C33</f>
        <v>0</v>
      </c>
      <c r="C84" t="e">
        <f>MATCH(B84,Spielplan!$C$7:$C$13,0)</f>
        <v>#N/A</v>
      </c>
      <c r="G84" s="172"/>
      <c r="H84" s="173"/>
      <c r="I84" s="173"/>
      <c r="J84" s="173"/>
      <c r="K84" s="173"/>
      <c r="P84" s="172"/>
      <c r="Q84" s="173"/>
      <c r="R84" s="173"/>
      <c r="S84" s="173"/>
      <c r="T84" s="173"/>
      <c r="Y84" t="e">
        <f>RANK(Z84,$Z$83:$Z$86)</f>
        <v>#N/A</v>
      </c>
      <c r="Z84" t="e">
        <f t="shared" si="23"/>
        <v>#N/A</v>
      </c>
      <c r="AA84" t="e">
        <f t="shared" ref="AA84:AA86" si="25">B88</f>
        <v>#N/A</v>
      </c>
      <c r="AB84">
        <f>IF(COUNT($H91:$K91)=COUNT(I90:I93),COUNT($H91:$K91),"")</f>
        <v>0</v>
      </c>
      <c r="AC84">
        <f t="shared" ref="AC84:AC86" si="26">SUM(Q91:T91)</f>
        <v>0</v>
      </c>
      <c r="AD84" t="e">
        <f>SUM(H91:K91)</f>
        <v>#N/A</v>
      </c>
      <c r="AE84" t="e">
        <f>SUM(I90:I93)</f>
        <v>#N/A</v>
      </c>
      <c r="AF84" t="e">
        <f t="shared" si="24"/>
        <v>#N/A</v>
      </c>
      <c r="AG84">
        <v>0.3</v>
      </c>
    </row>
    <row r="85" spans="1:33" x14ac:dyDescent="0.25">
      <c r="A85" t="e">
        <f>RANK(C85,$C$82:$C$85,1)</f>
        <v>#N/A</v>
      </c>
      <c r="B85">
        <f>Vergleich!C34</f>
        <v>0</v>
      </c>
      <c r="C85" t="e">
        <f>MATCH(B85,Spielplan!$C$7:$C$13,0)</f>
        <v>#N/A</v>
      </c>
      <c r="G85" s="172"/>
      <c r="H85" s="173"/>
      <c r="I85" s="173"/>
      <c r="J85" s="173"/>
      <c r="K85" s="173"/>
      <c r="P85" s="172"/>
      <c r="Q85" s="173"/>
      <c r="R85" s="173"/>
      <c r="S85" s="173"/>
      <c r="T85" s="173"/>
      <c r="Y85" t="e">
        <f>RANK(Z85,$Z$83:$Z$86)</f>
        <v>#N/A</v>
      </c>
      <c r="Z85" t="e">
        <f t="shared" si="23"/>
        <v>#N/A</v>
      </c>
      <c r="AA85" t="e">
        <f t="shared" si="25"/>
        <v>#N/A</v>
      </c>
      <c r="AB85">
        <f>IF(COUNT($H92:$K92)=COUNT(J90:J93),COUNT($H92:$K92),"")</f>
        <v>0</v>
      </c>
      <c r="AC85">
        <f t="shared" si="26"/>
        <v>0</v>
      </c>
      <c r="AD85" t="e">
        <f>SUM(H92:K92)</f>
        <v>#N/A</v>
      </c>
      <c r="AE85" t="e">
        <f>SUM(J90:J93)</f>
        <v>#N/A</v>
      </c>
      <c r="AF85" t="e">
        <f t="shared" si="24"/>
        <v>#N/A</v>
      </c>
      <c r="AG85">
        <v>0.2</v>
      </c>
    </row>
    <row r="86" spans="1:33" x14ac:dyDescent="0.25">
      <c r="G86" s="172"/>
      <c r="H86" s="173"/>
      <c r="I86" s="173"/>
      <c r="J86" s="173"/>
      <c r="K86" s="173"/>
      <c r="P86" s="172"/>
      <c r="Q86" s="173"/>
      <c r="R86" s="173"/>
      <c r="S86" s="173"/>
      <c r="T86" s="173"/>
      <c r="Y86" t="e">
        <f>RANK(Z86,$Z$83:$Z$86)</f>
        <v>#N/A</v>
      </c>
      <c r="Z86" t="e">
        <f t="shared" si="23"/>
        <v>#N/A</v>
      </c>
      <c r="AA86" t="e">
        <f t="shared" si="25"/>
        <v>#N/A</v>
      </c>
      <c r="AB86">
        <f>IF(COUNT($H93:$K93)=COUNT(K90:K93),COUNT($H93:$K93),"")</f>
        <v>0</v>
      </c>
      <c r="AC86">
        <f t="shared" si="26"/>
        <v>0</v>
      </c>
      <c r="AD86" t="e">
        <f>SUM(H93:K93)</f>
        <v>#N/A</v>
      </c>
      <c r="AE86" t="e">
        <f>SUM(K90:K93)</f>
        <v>#N/A</v>
      </c>
      <c r="AF86" t="e">
        <f t="shared" si="24"/>
        <v>#N/A</v>
      </c>
      <c r="AG86">
        <v>0.1</v>
      </c>
    </row>
    <row r="87" spans="1:33" x14ac:dyDescent="0.25">
      <c r="A87">
        <v>1</v>
      </c>
      <c r="B87" t="e">
        <f>VLOOKUP(A87,$A$82:$C$85,2,FALSE)</f>
        <v>#N/A</v>
      </c>
      <c r="G87" s="172"/>
      <c r="H87" s="173"/>
      <c r="I87" s="173"/>
      <c r="J87" s="173"/>
      <c r="K87" s="173"/>
      <c r="P87" s="172"/>
      <c r="Q87" s="173"/>
      <c r="R87" s="173"/>
      <c r="S87" s="173"/>
      <c r="T87" s="173"/>
    </row>
    <row r="88" spans="1:33" x14ac:dyDescent="0.25">
      <c r="A88">
        <v>2</v>
      </c>
      <c r="B88" t="e">
        <f t="shared" ref="B88:B90" si="27">VLOOKUP(A88,$A$82:$C$85,2,FALSE)</f>
        <v>#N/A</v>
      </c>
      <c r="G88" s="172"/>
      <c r="H88" s="173"/>
      <c r="I88" s="173"/>
      <c r="J88" s="173"/>
      <c r="K88" s="173"/>
      <c r="P88" s="172"/>
      <c r="Q88" s="173"/>
      <c r="R88" s="173"/>
      <c r="S88" s="173"/>
      <c r="T88" s="173"/>
    </row>
    <row r="89" spans="1:33" x14ac:dyDescent="0.25">
      <c r="A89">
        <v>3</v>
      </c>
      <c r="B89" t="e">
        <f t="shared" si="27"/>
        <v>#N/A</v>
      </c>
      <c r="G89" s="172"/>
      <c r="H89" s="173"/>
      <c r="I89" s="173"/>
      <c r="J89" s="173"/>
      <c r="K89" s="173"/>
      <c r="P89" s="172"/>
      <c r="Q89" s="173"/>
      <c r="R89" s="173"/>
      <c r="S89" s="173"/>
      <c r="T89" s="173"/>
    </row>
    <row r="90" spans="1:33" x14ac:dyDescent="0.25">
      <c r="A90">
        <v>4</v>
      </c>
      <c r="B90" t="e">
        <f t="shared" si="27"/>
        <v>#N/A</v>
      </c>
      <c r="G90" t="e">
        <f t="shared" ref="G90:G93" si="28">B87</f>
        <v>#N/A</v>
      </c>
      <c r="H90" s="5"/>
      <c r="I90" t="e">
        <f>VLOOKUP($G90&amp;I$82,$A$4:$E$24,4,FALSE)</f>
        <v>#N/A</v>
      </c>
      <c r="J90" t="e">
        <f t="shared" ref="J90:K92" si="29">VLOOKUP($G90&amp;J$82,$A$4:$E$24,4,FALSE)</f>
        <v>#N/A</v>
      </c>
      <c r="K90" t="e">
        <f t="shared" si="29"/>
        <v>#N/A</v>
      </c>
      <c r="P90" t="e">
        <f t="shared" ref="P90:P93" si="30">G90</f>
        <v>#N/A</v>
      </c>
      <c r="Q90" s="5"/>
      <c r="R90" t="str">
        <f>IF(AND(ISNUMBER(I90),ISNUMBER(H91)),IF(I90&gt;H91,3,IF(I90&lt;H91,0,1)),"")</f>
        <v/>
      </c>
      <c r="S90" t="str">
        <f>IF(AND(ISNUMBER(J90),ISNUMBER(H92)),IF(J90&gt;H92,3,IF(J90&lt;H92,0,1)),"")</f>
        <v/>
      </c>
      <c r="T90" t="str">
        <f>IF(AND(ISNUMBER(K90),ISNUMBER(H93)),IF(K90&gt;H93,3,IF(K90&lt;H93,0,1)),"")</f>
        <v/>
      </c>
    </row>
    <row r="91" spans="1:33" x14ac:dyDescent="0.25">
      <c r="G91" t="e">
        <f t="shared" si="28"/>
        <v>#N/A</v>
      </c>
      <c r="H91" t="e">
        <f>VLOOKUP(H$82&amp;$G91,$A$4:$E$24,5,FALSE)</f>
        <v>#N/A</v>
      </c>
      <c r="I91" s="5"/>
      <c r="J91" t="e">
        <f t="shared" si="29"/>
        <v>#N/A</v>
      </c>
      <c r="K91" t="e">
        <f t="shared" si="29"/>
        <v>#N/A</v>
      </c>
      <c r="P91" t="e">
        <f t="shared" si="30"/>
        <v>#N/A</v>
      </c>
      <c r="Q91" t="str">
        <f>IF(AND(ISNUMBER(H91),ISNUMBER(I90)),IF(H91&gt;I90,3,IF(H91&lt;I90,0,1)),"")</f>
        <v/>
      </c>
      <c r="R91" s="5"/>
      <c r="S91" t="str">
        <f>IF(AND(ISNUMBER(J91),ISNUMBER(I92)),IF(J91&gt;I92,3,IF(J91&lt;I92,0,1)),"")</f>
        <v/>
      </c>
      <c r="T91" t="str">
        <f>IF(AND(ISNUMBER(K91),ISNUMBER(I93)),IF(K91&gt;I93,3,IF(K91&lt;I93,0,1)),"")</f>
        <v/>
      </c>
    </row>
    <row r="92" spans="1:33" x14ac:dyDescent="0.25">
      <c r="G92" t="e">
        <f t="shared" si="28"/>
        <v>#N/A</v>
      </c>
      <c r="H92" t="e">
        <f>VLOOKUP(H$82&amp;$G92,$A$4:$E$24,5,FALSE)</f>
        <v>#N/A</v>
      </c>
      <c r="I92" t="e">
        <f>VLOOKUP(I$82&amp;$G92,$A$4:$E$24,5,FALSE)</f>
        <v>#N/A</v>
      </c>
      <c r="J92" s="5"/>
      <c r="K92" t="e">
        <f t="shared" si="29"/>
        <v>#N/A</v>
      </c>
      <c r="P92" t="e">
        <f t="shared" si="30"/>
        <v>#N/A</v>
      </c>
      <c r="Q92" t="str">
        <f>IF(AND(ISNUMBER(H92),ISNUMBER(J90)),IF(H92&gt;J90,3,IF(H92&lt;J90,0,1)),"")</f>
        <v/>
      </c>
      <c r="R92" t="str">
        <f>IF(AND(ISNUMBER(I92),ISNUMBER(J91)),IF(I92&gt;J91,3,IF(I92&lt;J91,0,1)),"")</f>
        <v/>
      </c>
      <c r="S92" s="5"/>
      <c r="T92" t="str">
        <f>IF(AND(ISNUMBER(K92),ISNUMBER(J93)),IF(K92&gt;J93,3,IF(K92&lt;J93,0,1)),"")</f>
        <v/>
      </c>
    </row>
    <row r="93" spans="1:33" x14ac:dyDescent="0.25">
      <c r="G93" t="e">
        <f t="shared" si="28"/>
        <v>#N/A</v>
      </c>
      <c r="H93" t="e">
        <f>VLOOKUP(H$82&amp;$G93,$A$4:$E$24,5,FALSE)</f>
        <v>#N/A</v>
      </c>
      <c r="I93" t="e">
        <f>VLOOKUP(I$82&amp;$G93,$A$4:$E$24,5,FALSE)</f>
        <v>#N/A</v>
      </c>
      <c r="J93" t="e">
        <f>VLOOKUP(J$82&amp;$G93,$A$4:$E$24,5,FALSE)</f>
        <v>#N/A</v>
      </c>
      <c r="K93" s="5"/>
      <c r="P93" t="e">
        <f t="shared" si="30"/>
        <v>#N/A</v>
      </c>
      <c r="Q93" t="str">
        <f>IF(AND(ISNUMBER(H93),ISNUMBER(K90)),IF(H93&gt;K90,3,IF(H93&lt;K90,0,1)),"")</f>
        <v/>
      </c>
      <c r="R93" t="str">
        <f>IF(AND(ISNUMBER(I93),ISNUMBER(K91)),IF(I93&gt;K91,3,IF(I93&lt;K91,0,1)),"")</f>
        <v/>
      </c>
      <c r="S93" t="str">
        <f>IF(AND(ISNUMBER(J93),ISNUMBER(K92)),IF(J93&gt;K92,3,IF(J93&lt;K92,0,1)),"")</f>
        <v/>
      </c>
      <c r="T93" s="5"/>
    </row>
    <row r="97" spans="1:34" x14ac:dyDescent="0.25">
      <c r="A97" s="171" t="s">
        <v>74</v>
      </c>
      <c r="B97" s="171"/>
      <c r="C97" s="171"/>
      <c r="D97" s="171"/>
      <c r="E97" s="171"/>
      <c r="F97" s="171"/>
      <c r="G97" s="171"/>
      <c r="H97" s="171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171"/>
      <c r="AC97" s="171"/>
      <c r="AD97" s="171"/>
      <c r="AE97" s="171"/>
      <c r="AF97" s="171"/>
      <c r="AG97" s="171"/>
      <c r="AH97" s="171"/>
    </row>
    <row r="99" spans="1:34" x14ac:dyDescent="0.25">
      <c r="A99" t="s">
        <v>64</v>
      </c>
      <c r="B99" t="str">
        <f>Vergleich!C45</f>
        <v>Vorrunde</v>
      </c>
      <c r="C99" t="str">
        <f>IF(B99="Vorrunde",ADDRESS(ROW($A$4),COLUMN($A$4),1,1)&amp;":"&amp;ADDRESS(ROW($E$24),COLUMN($E$24),1,1),ADDRESS(ROW($A$29),COLUMN($A$29),1,1)&amp;":"&amp;ADDRESS(ROW($E$31),COLUMN($E$31),1,1))</f>
        <v>$A$4:$E$24</v>
      </c>
    </row>
    <row r="101" spans="1:34" x14ac:dyDescent="0.25">
      <c r="A101" t="e">
        <f>RANK(C101,$C$101:$C$105,1)</f>
        <v>#N/A</v>
      </c>
      <c r="B101">
        <f>Vergleich!C46</f>
        <v>0</v>
      </c>
      <c r="C101" t="e">
        <f>MATCH(B101,Spielplan!$C$7:$C$13,0)</f>
        <v>#N/A</v>
      </c>
      <c r="G101" s="172" t="s">
        <v>47</v>
      </c>
      <c r="H101" s="173" t="e">
        <f>G109</f>
        <v>#N/A</v>
      </c>
      <c r="I101" s="173" t="e">
        <f>G110</f>
        <v>#N/A</v>
      </c>
      <c r="J101" s="173" t="e">
        <f>G111</f>
        <v>#N/A</v>
      </c>
      <c r="K101" s="173" t="e">
        <f>G112</f>
        <v>#N/A</v>
      </c>
      <c r="L101" s="173" t="e">
        <f>G113</f>
        <v>#N/A</v>
      </c>
      <c r="P101" s="172" t="s">
        <v>46</v>
      </c>
      <c r="Q101" s="173" t="e">
        <f t="shared" ref="Q101:U101" si="31">H101</f>
        <v>#N/A</v>
      </c>
      <c r="R101" s="173" t="e">
        <f t="shared" si="31"/>
        <v>#N/A</v>
      </c>
      <c r="S101" s="173" t="e">
        <f t="shared" si="31"/>
        <v>#N/A</v>
      </c>
      <c r="T101" s="173" t="e">
        <f t="shared" si="31"/>
        <v>#N/A</v>
      </c>
      <c r="U101" s="173" t="e">
        <f t="shared" si="31"/>
        <v>#N/A</v>
      </c>
      <c r="AA101" s="4" t="s">
        <v>53</v>
      </c>
      <c r="AB101" s="4" t="s">
        <v>45</v>
      </c>
      <c r="AC101" s="4" t="s">
        <v>46</v>
      </c>
      <c r="AD101" s="4" t="s">
        <v>47</v>
      </c>
      <c r="AE101" s="4" t="s">
        <v>48</v>
      </c>
      <c r="AF101" s="4" t="s">
        <v>51</v>
      </c>
      <c r="AG101" s="4" t="s">
        <v>52</v>
      </c>
    </row>
    <row r="102" spans="1:34" x14ac:dyDescent="0.25">
      <c r="A102" t="e">
        <f>RANK(C102,$C$101:$C$105,1)</f>
        <v>#N/A</v>
      </c>
      <c r="B102">
        <f>Vergleich!C47</f>
        <v>0</v>
      </c>
      <c r="C102" t="e">
        <f>MATCH(B102,Spielplan!$C$7:$C$13,0)</f>
        <v>#N/A</v>
      </c>
      <c r="G102" s="172"/>
      <c r="H102" s="173"/>
      <c r="I102" s="173"/>
      <c r="J102" s="173"/>
      <c r="K102" s="173"/>
      <c r="L102" s="173"/>
      <c r="P102" s="172"/>
      <c r="Q102" s="173"/>
      <c r="R102" s="173"/>
      <c r="S102" s="173"/>
      <c r="T102" s="173"/>
      <c r="U102" s="173"/>
      <c r="Y102" t="e">
        <f>RANK(Z102,$Z$102:$Z$106)</f>
        <v>#N/A</v>
      </c>
      <c r="Z102" t="e">
        <f t="shared" ref="Z102:Z106" si="32">10000*AC102+1000*AF102+100*AD102+AG102</f>
        <v>#N/A</v>
      </c>
      <c r="AA102" t="e">
        <f>B107</f>
        <v>#N/A</v>
      </c>
      <c r="AB102">
        <f>IF(COUNT($H109:$L109)=COUNT(H109:H113),COUNT($H109:$L109),"")</f>
        <v>0</v>
      </c>
      <c r="AC102">
        <f>SUM(Q109:U109)</f>
        <v>0</v>
      </c>
      <c r="AD102" t="e">
        <f>SUM(H109:L109)</f>
        <v>#N/A</v>
      </c>
      <c r="AE102" t="e">
        <f>SUM(H109:H113)</f>
        <v>#N/A</v>
      </c>
      <c r="AF102" t="e">
        <f t="shared" ref="AF102:AF105" si="33">AD102-AE102</f>
        <v>#N/A</v>
      </c>
      <c r="AG102">
        <v>0.5</v>
      </c>
    </row>
    <row r="103" spans="1:34" x14ac:dyDescent="0.25">
      <c r="A103" t="e">
        <f>RANK(C103,$C$101:$C$105,1)</f>
        <v>#N/A</v>
      </c>
      <c r="B103">
        <f>Vergleich!C48</f>
        <v>0</v>
      </c>
      <c r="C103" t="e">
        <f>MATCH(B103,Spielplan!$C$7:$C$13,0)</f>
        <v>#N/A</v>
      </c>
      <c r="G103" s="172"/>
      <c r="H103" s="173"/>
      <c r="I103" s="173"/>
      <c r="J103" s="173"/>
      <c r="K103" s="173"/>
      <c r="L103" s="173"/>
      <c r="P103" s="172"/>
      <c r="Q103" s="173"/>
      <c r="R103" s="173"/>
      <c r="S103" s="173"/>
      <c r="T103" s="173"/>
      <c r="U103" s="173"/>
      <c r="Y103" t="e">
        <f t="shared" ref="Y103:Y106" si="34">RANK(Z103,$Z$102:$Z$106)</f>
        <v>#N/A</v>
      </c>
      <c r="Z103" t="e">
        <f t="shared" si="32"/>
        <v>#N/A</v>
      </c>
      <c r="AA103" t="e">
        <f t="shared" ref="AA103:AA106" si="35">B108</f>
        <v>#N/A</v>
      </c>
      <c r="AB103">
        <f>IF(COUNT($H110:$L110)=COUNT(I109:I113),COUNT($H110:$L110),"")</f>
        <v>0</v>
      </c>
      <c r="AC103">
        <f t="shared" ref="AC103:AC106" si="36">SUM(Q110:U110)</f>
        <v>0</v>
      </c>
      <c r="AD103" t="e">
        <f t="shared" ref="AD103:AD106" si="37">SUM(H110:L110)</f>
        <v>#N/A</v>
      </c>
      <c r="AE103" t="e">
        <f>SUM(I109:I113)</f>
        <v>#N/A</v>
      </c>
      <c r="AF103" t="e">
        <f t="shared" si="33"/>
        <v>#N/A</v>
      </c>
      <c r="AG103">
        <v>0.4</v>
      </c>
    </row>
    <row r="104" spans="1:34" x14ac:dyDescent="0.25">
      <c r="A104" t="e">
        <f>RANK(C104,$C$101:$C$105,1)</f>
        <v>#N/A</v>
      </c>
      <c r="B104">
        <f>Vergleich!C49</f>
        <v>0</v>
      </c>
      <c r="C104" t="e">
        <f>MATCH(B104,Spielplan!$C$7:$C$13,0)</f>
        <v>#N/A</v>
      </c>
      <c r="G104" s="172"/>
      <c r="H104" s="173"/>
      <c r="I104" s="173"/>
      <c r="J104" s="173"/>
      <c r="K104" s="173"/>
      <c r="L104" s="173"/>
      <c r="P104" s="172"/>
      <c r="Q104" s="173"/>
      <c r="R104" s="173"/>
      <c r="S104" s="173"/>
      <c r="T104" s="173"/>
      <c r="U104" s="173"/>
      <c r="Y104" t="e">
        <f t="shared" si="34"/>
        <v>#N/A</v>
      </c>
      <c r="Z104" t="e">
        <f t="shared" si="32"/>
        <v>#N/A</v>
      </c>
      <c r="AA104" t="e">
        <f t="shared" si="35"/>
        <v>#N/A</v>
      </c>
      <c r="AB104">
        <f>IF(COUNT($H111:$L111)=COUNT(J109:J113),COUNT($H111:$L111),"")</f>
        <v>0</v>
      </c>
      <c r="AC104">
        <f t="shared" si="36"/>
        <v>0</v>
      </c>
      <c r="AD104" t="e">
        <f t="shared" si="37"/>
        <v>#N/A</v>
      </c>
      <c r="AE104" t="e">
        <f>SUM(J109:J113)</f>
        <v>#N/A</v>
      </c>
      <c r="AF104" t="e">
        <f t="shared" si="33"/>
        <v>#N/A</v>
      </c>
      <c r="AG104">
        <v>0.3</v>
      </c>
    </row>
    <row r="105" spans="1:34" x14ac:dyDescent="0.25">
      <c r="A105" t="e">
        <f>RANK(C105,$C$101:$C$105,1)</f>
        <v>#N/A</v>
      </c>
      <c r="B105">
        <f>Vergleich!C50</f>
        <v>0</v>
      </c>
      <c r="C105" t="e">
        <f>MATCH(B105,Spielplan!$C$7:$C$13,0)</f>
        <v>#N/A</v>
      </c>
      <c r="G105" s="172"/>
      <c r="H105" s="173"/>
      <c r="I105" s="173"/>
      <c r="J105" s="173"/>
      <c r="K105" s="173"/>
      <c r="L105" s="173"/>
      <c r="P105" s="172"/>
      <c r="Q105" s="173"/>
      <c r="R105" s="173"/>
      <c r="S105" s="173"/>
      <c r="T105" s="173"/>
      <c r="U105" s="173"/>
      <c r="Y105" t="e">
        <f t="shared" si="34"/>
        <v>#N/A</v>
      </c>
      <c r="Z105" t="e">
        <f t="shared" si="32"/>
        <v>#N/A</v>
      </c>
      <c r="AA105" t="e">
        <f t="shared" si="35"/>
        <v>#N/A</v>
      </c>
      <c r="AB105">
        <f>IF(COUNT($H112:$L112)=COUNT(K109:K113),COUNT($H112:$L112),"")</f>
        <v>0</v>
      </c>
      <c r="AC105">
        <f t="shared" si="36"/>
        <v>0</v>
      </c>
      <c r="AD105" t="e">
        <f t="shared" si="37"/>
        <v>#N/A</v>
      </c>
      <c r="AE105" t="e">
        <f>SUM(K109:K113)</f>
        <v>#N/A</v>
      </c>
      <c r="AF105" t="e">
        <f t="shared" si="33"/>
        <v>#N/A</v>
      </c>
      <c r="AG105">
        <v>0.2</v>
      </c>
    </row>
    <row r="106" spans="1:34" x14ac:dyDescent="0.25">
      <c r="G106" s="172"/>
      <c r="H106" s="173"/>
      <c r="I106" s="173"/>
      <c r="J106" s="173"/>
      <c r="K106" s="173"/>
      <c r="L106" s="173"/>
      <c r="P106" s="172"/>
      <c r="Q106" s="173"/>
      <c r="R106" s="173"/>
      <c r="S106" s="173"/>
      <c r="T106" s="173"/>
      <c r="U106" s="173"/>
      <c r="Y106" t="e">
        <f t="shared" si="34"/>
        <v>#N/A</v>
      </c>
      <c r="Z106" t="e">
        <f t="shared" si="32"/>
        <v>#N/A</v>
      </c>
      <c r="AA106" t="e">
        <f t="shared" si="35"/>
        <v>#N/A</v>
      </c>
      <c r="AB106">
        <f>IF(COUNT($H113:$L113)=COUNT(L109:L113),COUNT($H113:$L113),"")</f>
        <v>0</v>
      </c>
      <c r="AC106">
        <f t="shared" si="36"/>
        <v>0</v>
      </c>
      <c r="AD106" t="e">
        <f t="shared" si="37"/>
        <v>#N/A</v>
      </c>
      <c r="AE106" t="e">
        <f>SUM(L109:L113)</f>
        <v>#N/A</v>
      </c>
      <c r="AF106" t="e">
        <f t="shared" ref="AF106" si="38">AD106-AE106</f>
        <v>#N/A</v>
      </c>
      <c r="AG106">
        <v>0.1</v>
      </c>
    </row>
    <row r="107" spans="1:34" x14ac:dyDescent="0.25">
      <c r="A107">
        <v>1</v>
      </c>
      <c r="B107" t="e">
        <f>VLOOKUP(A107,$A$101:$C$105,2,FALSE)</f>
        <v>#N/A</v>
      </c>
      <c r="G107" s="172"/>
      <c r="H107" s="173"/>
      <c r="I107" s="173"/>
      <c r="J107" s="173"/>
      <c r="K107" s="173"/>
      <c r="L107" s="173"/>
      <c r="P107" s="172"/>
      <c r="Q107" s="173"/>
      <c r="R107" s="173"/>
      <c r="S107" s="173"/>
      <c r="T107" s="173"/>
      <c r="U107" s="173"/>
    </row>
    <row r="108" spans="1:34" x14ac:dyDescent="0.25">
      <c r="A108">
        <v>2</v>
      </c>
      <c r="B108" t="e">
        <f>VLOOKUP(A108,$A$101:$C$105,2,FALSE)</f>
        <v>#N/A</v>
      </c>
      <c r="G108" s="172"/>
      <c r="H108" s="173"/>
      <c r="I108" s="173"/>
      <c r="J108" s="173"/>
      <c r="K108" s="173"/>
      <c r="L108" s="173"/>
      <c r="P108" s="172"/>
      <c r="Q108" s="173"/>
      <c r="R108" s="173"/>
      <c r="S108" s="173"/>
      <c r="T108" s="173"/>
      <c r="U108" s="173"/>
    </row>
    <row r="109" spans="1:34" x14ac:dyDescent="0.25">
      <c r="A109">
        <v>3</v>
      </c>
      <c r="B109" t="e">
        <f t="shared" ref="B109:B111" si="39">VLOOKUP(A109,$A$101:$C$105,2,FALSE)</f>
        <v>#N/A</v>
      </c>
      <c r="G109" t="e">
        <f t="shared" ref="G109:G113" si="40">B107</f>
        <v>#N/A</v>
      </c>
      <c r="H109" s="5"/>
      <c r="I109" t="e">
        <f>VLOOKUP($G109&amp;I$101,$A$4:$E$24,4,FALSE)</f>
        <v>#N/A</v>
      </c>
      <c r="J109" t="e">
        <f t="shared" ref="J109:L110" si="41">VLOOKUP($G109&amp;J$101,$A$4:$E$24,4,FALSE)</f>
        <v>#N/A</v>
      </c>
      <c r="K109" t="e">
        <f t="shared" si="41"/>
        <v>#N/A</v>
      </c>
      <c r="L109" t="e">
        <f t="shared" si="41"/>
        <v>#N/A</v>
      </c>
      <c r="P109" t="e">
        <f t="shared" ref="P109:P113" si="42">G109</f>
        <v>#N/A</v>
      </c>
      <c r="Q109" s="5"/>
      <c r="R109" t="str">
        <f>IF(AND(ISNUMBER(I109),ISNUMBER(H110)),IF(I109&gt;H110,3,IF(I109&lt;H110,0,1)),"")</f>
        <v/>
      </c>
      <c r="S109" t="str">
        <f>IF(AND(ISNUMBER(J109),ISNUMBER(H111)),IF(J109&gt;H111,3,IF(J109&lt;H111,0,1)),"")</f>
        <v/>
      </c>
      <c r="T109" t="str">
        <f>IF(AND(ISNUMBER(K109),ISNUMBER(H112)),IF(K109&gt;H112,3,IF(K109&lt;H112,0,1)),"")</f>
        <v/>
      </c>
      <c r="U109" t="str">
        <f>IF(AND(ISNUMBER(L109),ISNUMBER(H113)),IF(L109&gt;H113,3,IF(L109&lt;H113,0,1)),"")</f>
        <v/>
      </c>
    </row>
    <row r="110" spans="1:34" x14ac:dyDescent="0.25">
      <c r="A110">
        <v>4</v>
      </c>
      <c r="B110" t="e">
        <f t="shared" si="39"/>
        <v>#N/A</v>
      </c>
      <c r="G110" t="e">
        <f t="shared" si="40"/>
        <v>#N/A</v>
      </c>
      <c r="H110" t="e">
        <f>VLOOKUP(H$101&amp;$G110,$A$4:$E$24,5,FALSE)</f>
        <v>#N/A</v>
      </c>
      <c r="I110" s="5"/>
      <c r="J110" t="e">
        <f t="shared" si="41"/>
        <v>#N/A</v>
      </c>
      <c r="K110" t="e">
        <f t="shared" si="41"/>
        <v>#N/A</v>
      </c>
      <c r="L110" t="e">
        <f t="shared" si="41"/>
        <v>#N/A</v>
      </c>
      <c r="P110" t="e">
        <f t="shared" si="42"/>
        <v>#N/A</v>
      </c>
      <c r="Q110" t="str">
        <f>IF(AND(ISNUMBER(H110),ISNUMBER(I109)),IF(H110&gt;I109,3,IF(H110&lt;I109,0,1)),"")</f>
        <v/>
      </c>
      <c r="R110" s="5"/>
      <c r="S110" t="str">
        <f>IF(AND(ISNUMBER(J110),ISNUMBER(I111)),IF(J110&gt;I111,3,IF(J110&lt;I111,0,1)),"")</f>
        <v/>
      </c>
      <c r="T110" t="str">
        <f>IF(AND(ISNUMBER(K110),ISNUMBER(I112)),IF(K110&gt;I112,3,IF(K110&lt;I112,0,1)),"")</f>
        <v/>
      </c>
      <c r="U110" t="str">
        <f>IF(AND(ISNUMBER(L110),ISNUMBER(I113)),IF(L110&gt;I113,3,IF(L110&lt;I113,0,1)),"")</f>
        <v/>
      </c>
    </row>
    <row r="111" spans="1:34" x14ac:dyDescent="0.25">
      <c r="A111">
        <v>5</v>
      </c>
      <c r="B111" t="e">
        <f t="shared" si="39"/>
        <v>#N/A</v>
      </c>
      <c r="G111" t="e">
        <f t="shared" si="40"/>
        <v>#N/A</v>
      </c>
      <c r="H111" t="e">
        <f t="shared" ref="H111:I113" si="43">VLOOKUP(H$101&amp;$G111,$A$4:$E$24,5,FALSE)</f>
        <v>#N/A</v>
      </c>
      <c r="I111" t="e">
        <f t="shared" si="43"/>
        <v>#N/A</v>
      </c>
      <c r="J111" s="5"/>
      <c r="K111" t="e">
        <f>VLOOKUP($G111&amp;K$101,$A$4:$E$24,4,FALSE)</f>
        <v>#N/A</v>
      </c>
      <c r="L111" t="e">
        <f>VLOOKUP($G111&amp;L$101,$A$4:$E$24,4,FALSE)</f>
        <v>#N/A</v>
      </c>
      <c r="P111" t="e">
        <f t="shared" si="42"/>
        <v>#N/A</v>
      </c>
      <c r="Q111" t="str">
        <f>IF(AND(ISNUMBER(H111),ISNUMBER(J109)),IF(H111&gt;J109,3,IF(H111&lt;J109,0,1)),"")</f>
        <v/>
      </c>
      <c r="R111" t="str">
        <f>IF(AND(ISNUMBER(I111),ISNUMBER(J110)),IF(I111&gt;J110,3,IF(I111&lt;J110,0,1)),"")</f>
        <v/>
      </c>
      <c r="S111" s="5"/>
      <c r="T111" t="str">
        <f>IF(AND(ISNUMBER(K111),ISNUMBER(J112)),IF(K111&gt;J112,3,IF(K111&lt;J112,0,1)),"")</f>
        <v/>
      </c>
      <c r="U111" t="str">
        <f>IF(AND(ISNUMBER(L111),ISNUMBER(J113)),IF(L111&gt;J113,3,IF(L111&lt;J113,0,1)),"")</f>
        <v/>
      </c>
    </row>
    <row r="112" spans="1:34" x14ac:dyDescent="0.25">
      <c r="G112" t="e">
        <f t="shared" si="40"/>
        <v>#N/A</v>
      </c>
      <c r="H112" t="e">
        <f t="shared" si="43"/>
        <v>#N/A</v>
      </c>
      <c r="I112" t="e">
        <f t="shared" si="43"/>
        <v>#N/A</v>
      </c>
      <c r="J112" t="e">
        <f>VLOOKUP(J$101&amp;$G112,$A$4:$E$24,5,FALSE)</f>
        <v>#N/A</v>
      </c>
      <c r="K112" s="5"/>
      <c r="L112" t="e">
        <f>VLOOKUP($G112&amp;L$101,$A$4:$E$24,4,FALSE)</f>
        <v>#N/A</v>
      </c>
      <c r="P112" t="e">
        <f t="shared" si="42"/>
        <v>#N/A</v>
      </c>
      <c r="Q112" t="str">
        <f>IF(AND(ISNUMBER(H112),ISNUMBER(K109)),IF(H112&gt;K109,3,IF(H112&lt;K109,0,1)),"")</f>
        <v/>
      </c>
      <c r="R112" t="str">
        <f>IF(AND(ISNUMBER(I112),ISNUMBER(K110)),IF(I112&gt;K110,3,IF(I112&lt;K110,0,1)),"")</f>
        <v/>
      </c>
      <c r="S112" t="str">
        <f>IF(AND(ISNUMBER(J112),ISNUMBER(K111)),IF(J112&gt;K111,3,IF(J112&lt;K111,0,1)),"")</f>
        <v/>
      </c>
      <c r="T112" s="5"/>
      <c r="U112" t="str">
        <f>IF(AND(ISNUMBER(L112),ISNUMBER(K113)),IF(L112&gt;K113,3,IF(L112&lt;K113,0,1)),"")</f>
        <v/>
      </c>
    </row>
    <row r="113" spans="1:34" x14ac:dyDescent="0.25">
      <c r="G113" t="e">
        <f t="shared" si="40"/>
        <v>#N/A</v>
      </c>
      <c r="H113" t="e">
        <f t="shared" si="43"/>
        <v>#N/A</v>
      </c>
      <c r="I113" t="e">
        <f t="shared" si="43"/>
        <v>#N/A</v>
      </c>
      <c r="J113" t="e">
        <f>VLOOKUP(J$101&amp;$G113,$A$4:$E$24,5,FALSE)</f>
        <v>#N/A</v>
      </c>
      <c r="K113" t="e">
        <f>VLOOKUP(K$101&amp;$G113,$A$4:$E$24,5,FALSE)</f>
        <v>#N/A</v>
      </c>
      <c r="L113" s="5"/>
      <c r="P113" t="e">
        <f t="shared" si="42"/>
        <v>#N/A</v>
      </c>
      <c r="Q113" t="str">
        <f>IF(AND(ISNUMBER(H113),ISNUMBER(L109)),IF(H113&gt;L109,3,IF(H113&lt;L109,0,1)),"")</f>
        <v/>
      </c>
      <c r="R113" t="str">
        <f>IF(AND(ISNUMBER(I113),ISNUMBER(L110)),IF(I113&gt;L110,3,IF(I113&lt;L110,0,1)),"")</f>
        <v/>
      </c>
      <c r="S113" t="str">
        <f>IF(AND(ISNUMBER(J113),ISNUMBER(L111)),IF(J113&gt;L111,3,IF(J113&lt;L111,0,1)),"")</f>
        <v/>
      </c>
      <c r="T113" t="str">
        <f>IF(AND(ISNUMBER(K113),ISNUMBER(L112)),IF(K113&gt;L112,3,IF(K113&lt;L112,0,1)),"")</f>
        <v/>
      </c>
      <c r="U113" s="5"/>
    </row>
    <row r="117" spans="1:34" x14ac:dyDescent="0.25">
      <c r="A117" s="171" t="s">
        <v>76</v>
      </c>
      <c r="B117" s="171"/>
      <c r="C117" s="171"/>
      <c r="D117" s="171"/>
      <c r="E117" s="171"/>
      <c r="F117" s="171"/>
      <c r="G117" s="171"/>
      <c r="H117" s="171"/>
      <c r="I117" s="171"/>
      <c r="J117" s="171"/>
      <c r="K117" s="171"/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  <c r="AA117" s="171"/>
      <c r="AB117" s="171"/>
      <c r="AC117" s="171"/>
      <c r="AD117" s="171"/>
      <c r="AE117" s="171"/>
      <c r="AF117" s="171"/>
      <c r="AG117" s="171"/>
      <c r="AH117" s="171"/>
    </row>
    <row r="119" spans="1:34" x14ac:dyDescent="0.25">
      <c r="A119" t="s">
        <v>64</v>
      </c>
      <c r="B119" t="str">
        <f>Vergleich!C61</f>
        <v>Vorrunde</v>
      </c>
      <c r="C119" t="str">
        <f>IF(B119="Vorrunde",ADDRESS(ROW($A$4),COLUMN($A$4),1,1)&amp;":"&amp;ADDRESS(ROW($E$24),COLUMN($E$24),1,1),ADDRESS(ROW($A$29),COLUMN($A$29),1,1)&amp;":"&amp;ADDRESS(ROW($E$31),COLUMN($E$31),1,1))</f>
        <v>$A$4:$E$24</v>
      </c>
    </row>
    <row r="121" spans="1:34" x14ac:dyDescent="0.25">
      <c r="A121" t="e">
        <f>RANK(C121,$C$121:$C$126,1)</f>
        <v>#N/A</v>
      </c>
      <c r="B121">
        <f>Vergleich!C62</f>
        <v>0</v>
      </c>
      <c r="C121" t="e">
        <f>MATCH(B121,Spielplan!$C$7:$C$13,0)</f>
        <v>#N/A</v>
      </c>
      <c r="G121" s="172" t="s">
        <v>47</v>
      </c>
      <c r="H121" s="173" t="e">
        <f>G129</f>
        <v>#N/A</v>
      </c>
      <c r="I121" s="173" t="e">
        <f>G130</f>
        <v>#N/A</v>
      </c>
      <c r="J121" s="173" t="e">
        <f>G131</f>
        <v>#N/A</v>
      </c>
      <c r="K121" s="173" t="e">
        <f>G132</f>
        <v>#N/A</v>
      </c>
      <c r="L121" s="173" t="e">
        <f>G133</f>
        <v>#N/A</v>
      </c>
      <c r="M121" s="173" t="e">
        <f>G134</f>
        <v>#N/A</v>
      </c>
      <c r="P121" s="172" t="s">
        <v>46</v>
      </c>
      <c r="Q121" s="173" t="e">
        <f t="shared" ref="Q121:V121" si="44">H121</f>
        <v>#N/A</v>
      </c>
      <c r="R121" s="173" t="e">
        <f t="shared" si="44"/>
        <v>#N/A</v>
      </c>
      <c r="S121" s="173" t="e">
        <f t="shared" si="44"/>
        <v>#N/A</v>
      </c>
      <c r="T121" s="173" t="e">
        <f t="shared" si="44"/>
        <v>#N/A</v>
      </c>
      <c r="U121" s="173" t="e">
        <f t="shared" si="44"/>
        <v>#N/A</v>
      </c>
      <c r="V121" s="173" t="e">
        <f t="shared" si="44"/>
        <v>#N/A</v>
      </c>
      <c r="AA121" s="4" t="s">
        <v>53</v>
      </c>
      <c r="AB121" s="4" t="s">
        <v>45</v>
      </c>
      <c r="AC121" s="4" t="s">
        <v>46</v>
      </c>
      <c r="AD121" s="4" t="s">
        <v>47</v>
      </c>
      <c r="AE121" s="4" t="s">
        <v>48</v>
      </c>
      <c r="AF121" s="4" t="s">
        <v>51</v>
      </c>
      <c r="AG121" s="4" t="s">
        <v>52</v>
      </c>
    </row>
    <row r="122" spans="1:34" x14ac:dyDescent="0.25">
      <c r="A122" t="e">
        <f t="shared" ref="A122:A126" si="45">RANK(C122,$C$121:$C$126,1)</f>
        <v>#N/A</v>
      </c>
      <c r="B122">
        <f>Vergleich!C63</f>
        <v>0</v>
      </c>
      <c r="C122" t="e">
        <f>MATCH(B122,Spielplan!$C$7:$C$13,0)</f>
        <v>#N/A</v>
      </c>
      <c r="G122" s="172"/>
      <c r="H122" s="173"/>
      <c r="I122" s="173"/>
      <c r="J122" s="173"/>
      <c r="K122" s="173"/>
      <c r="L122" s="173"/>
      <c r="M122" s="173"/>
      <c r="P122" s="172"/>
      <c r="Q122" s="173"/>
      <c r="R122" s="173"/>
      <c r="S122" s="173"/>
      <c r="T122" s="173"/>
      <c r="U122" s="173"/>
      <c r="V122" s="173"/>
      <c r="Y122" t="e">
        <f>RANK(Z122,$Z$122:$Z$127)</f>
        <v>#N/A</v>
      </c>
      <c r="Z122" t="e">
        <f t="shared" ref="Z122:Z127" si="46">10000*AC122+1000*AF122+100*AD122+AG122</f>
        <v>#N/A</v>
      </c>
      <c r="AA122" t="e">
        <f t="shared" ref="AA122:AA127" si="47">B128</f>
        <v>#N/A</v>
      </c>
      <c r="AB122">
        <f>IF(COUNT($H129:$M129)=COUNT(H129:H134),COUNT($H129:$M129),"")</f>
        <v>0</v>
      </c>
      <c r="AC122">
        <f>SUM(Q129:V129)</f>
        <v>0</v>
      </c>
      <c r="AD122" t="e">
        <f>SUM(H129:M129)</f>
        <v>#N/A</v>
      </c>
      <c r="AE122" t="e">
        <f>SUM(H129:H134)</f>
        <v>#N/A</v>
      </c>
      <c r="AF122" t="e">
        <f t="shared" ref="AF122:AF127" si="48">AD122-AE122</f>
        <v>#N/A</v>
      </c>
      <c r="AG122">
        <v>0.6</v>
      </c>
    </row>
    <row r="123" spans="1:34" x14ac:dyDescent="0.25">
      <c r="A123" t="e">
        <f t="shared" si="45"/>
        <v>#N/A</v>
      </c>
      <c r="B123">
        <f>Vergleich!C64</f>
        <v>0</v>
      </c>
      <c r="C123" t="e">
        <f>MATCH(B123,Spielplan!$C$7:$C$13,0)</f>
        <v>#N/A</v>
      </c>
      <c r="G123" s="172"/>
      <c r="H123" s="173"/>
      <c r="I123" s="173"/>
      <c r="J123" s="173"/>
      <c r="K123" s="173"/>
      <c r="L123" s="173"/>
      <c r="M123" s="173"/>
      <c r="P123" s="172"/>
      <c r="Q123" s="173"/>
      <c r="R123" s="173"/>
      <c r="S123" s="173"/>
      <c r="T123" s="173"/>
      <c r="U123" s="173"/>
      <c r="V123" s="173"/>
      <c r="Y123" t="e">
        <f t="shared" ref="Y123:Y127" si="49">RANK(Z123,$Z$122:$Z$127)</f>
        <v>#N/A</v>
      </c>
      <c r="Z123" t="e">
        <f t="shared" si="46"/>
        <v>#N/A</v>
      </c>
      <c r="AA123" t="e">
        <f t="shared" si="47"/>
        <v>#N/A</v>
      </c>
      <c r="AB123">
        <f>IF(COUNT($H130:$M130)=COUNT(I129:I134),COUNT($H130:$M130),"")</f>
        <v>0</v>
      </c>
      <c r="AC123">
        <f t="shared" ref="AC123:AC127" si="50">SUM(Q130:V130)</f>
        <v>0</v>
      </c>
      <c r="AD123" t="e">
        <f t="shared" ref="AD123:AD127" si="51">SUM(H130:M130)</f>
        <v>#N/A</v>
      </c>
      <c r="AE123" t="e">
        <f>SUM(I129:I134)</f>
        <v>#N/A</v>
      </c>
      <c r="AF123" t="e">
        <f t="shared" si="48"/>
        <v>#N/A</v>
      </c>
      <c r="AG123">
        <v>0.5</v>
      </c>
    </row>
    <row r="124" spans="1:34" x14ac:dyDescent="0.25">
      <c r="A124" t="e">
        <f t="shared" si="45"/>
        <v>#N/A</v>
      </c>
      <c r="B124">
        <f>Vergleich!C65</f>
        <v>0</v>
      </c>
      <c r="C124" t="e">
        <f>MATCH(B124,Spielplan!$C$7:$C$13,0)</f>
        <v>#N/A</v>
      </c>
      <c r="G124" s="172"/>
      <c r="H124" s="173"/>
      <c r="I124" s="173"/>
      <c r="J124" s="173"/>
      <c r="K124" s="173"/>
      <c r="L124" s="173"/>
      <c r="M124" s="173"/>
      <c r="P124" s="172"/>
      <c r="Q124" s="173"/>
      <c r="R124" s="173"/>
      <c r="S124" s="173"/>
      <c r="T124" s="173"/>
      <c r="U124" s="173"/>
      <c r="V124" s="173"/>
      <c r="Y124" t="e">
        <f t="shared" si="49"/>
        <v>#N/A</v>
      </c>
      <c r="Z124" t="e">
        <f t="shared" si="46"/>
        <v>#N/A</v>
      </c>
      <c r="AA124" t="e">
        <f t="shared" si="47"/>
        <v>#N/A</v>
      </c>
      <c r="AB124">
        <f>IF(COUNT($H131:$M131)=COUNT(J129:J134),COUNT($H131:$M131),"")</f>
        <v>0</v>
      </c>
      <c r="AC124">
        <f t="shared" si="50"/>
        <v>0</v>
      </c>
      <c r="AD124" t="e">
        <f t="shared" si="51"/>
        <v>#N/A</v>
      </c>
      <c r="AE124" t="e">
        <f>SUM(J129:J134)</f>
        <v>#N/A</v>
      </c>
      <c r="AF124" t="e">
        <f t="shared" si="48"/>
        <v>#N/A</v>
      </c>
      <c r="AG124">
        <v>0.4</v>
      </c>
    </row>
    <row r="125" spans="1:34" x14ac:dyDescent="0.25">
      <c r="A125" t="e">
        <f t="shared" si="45"/>
        <v>#N/A</v>
      </c>
      <c r="B125">
        <f>Vergleich!C66</f>
        <v>0</v>
      </c>
      <c r="C125" t="e">
        <f>MATCH(B125,Spielplan!$C$7:$C$13,0)</f>
        <v>#N/A</v>
      </c>
      <c r="G125" s="172"/>
      <c r="H125" s="173"/>
      <c r="I125" s="173"/>
      <c r="J125" s="173"/>
      <c r="K125" s="173"/>
      <c r="L125" s="173"/>
      <c r="M125" s="173"/>
      <c r="P125" s="172"/>
      <c r="Q125" s="173"/>
      <c r="R125" s="173"/>
      <c r="S125" s="173"/>
      <c r="T125" s="173"/>
      <c r="U125" s="173"/>
      <c r="V125" s="173"/>
      <c r="Y125" t="e">
        <f t="shared" si="49"/>
        <v>#N/A</v>
      </c>
      <c r="Z125" t="e">
        <f t="shared" si="46"/>
        <v>#N/A</v>
      </c>
      <c r="AA125" t="e">
        <f t="shared" si="47"/>
        <v>#N/A</v>
      </c>
      <c r="AB125">
        <f>IF(COUNT($H132:$M132)=COUNT(K129:K134),COUNT($H132:$M132),"")</f>
        <v>0</v>
      </c>
      <c r="AC125">
        <f t="shared" si="50"/>
        <v>0</v>
      </c>
      <c r="AD125" t="e">
        <f t="shared" si="51"/>
        <v>#N/A</v>
      </c>
      <c r="AE125" t="e">
        <f>SUM(K129:K134)</f>
        <v>#N/A</v>
      </c>
      <c r="AF125" t="e">
        <f t="shared" si="48"/>
        <v>#N/A</v>
      </c>
      <c r="AG125">
        <v>0.3</v>
      </c>
    </row>
    <row r="126" spans="1:34" x14ac:dyDescent="0.25">
      <c r="A126" t="e">
        <f t="shared" si="45"/>
        <v>#N/A</v>
      </c>
      <c r="B126">
        <f>Vergleich!C67</f>
        <v>0</v>
      </c>
      <c r="C126" t="e">
        <f>MATCH(B126,Spielplan!$C$7:$C$13,0)</f>
        <v>#N/A</v>
      </c>
      <c r="G126" s="172"/>
      <c r="H126" s="173"/>
      <c r="I126" s="173"/>
      <c r="J126" s="173"/>
      <c r="K126" s="173"/>
      <c r="L126" s="173"/>
      <c r="M126" s="173"/>
      <c r="P126" s="172"/>
      <c r="Q126" s="173"/>
      <c r="R126" s="173"/>
      <c r="S126" s="173"/>
      <c r="T126" s="173"/>
      <c r="U126" s="173"/>
      <c r="V126" s="173"/>
      <c r="Y126" t="e">
        <f t="shared" si="49"/>
        <v>#N/A</v>
      </c>
      <c r="Z126" t="e">
        <f t="shared" si="46"/>
        <v>#N/A</v>
      </c>
      <c r="AA126" t="e">
        <f t="shared" si="47"/>
        <v>#N/A</v>
      </c>
      <c r="AB126">
        <f>IF(COUNT($H133:$M133)=COUNT(L129:L134),COUNT($H133:$M133),"")</f>
        <v>0</v>
      </c>
      <c r="AC126">
        <f t="shared" si="50"/>
        <v>0</v>
      </c>
      <c r="AD126" t="e">
        <f t="shared" si="51"/>
        <v>#N/A</v>
      </c>
      <c r="AE126" t="e">
        <f>SUM(L129:L134)</f>
        <v>#N/A</v>
      </c>
      <c r="AF126" t="e">
        <f t="shared" si="48"/>
        <v>#N/A</v>
      </c>
      <c r="AG126">
        <v>0.2</v>
      </c>
    </row>
    <row r="127" spans="1:34" x14ac:dyDescent="0.25">
      <c r="G127" s="172"/>
      <c r="H127" s="173"/>
      <c r="I127" s="173"/>
      <c r="J127" s="173"/>
      <c r="K127" s="173"/>
      <c r="L127" s="173"/>
      <c r="M127" s="173"/>
      <c r="P127" s="172"/>
      <c r="Q127" s="173"/>
      <c r="R127" s="173"/>
      <c r="S127" s="173"/>
      <c r="T127" s="173"/>
      <c r="U127" s="173"/>
      <c r="V127" s="173"/>
      <c r="Y127" t="e">
        <f t="shared" si="49"/>
        <v>#N/A</v>
      </c>
      <c r="Z127" t="e">
        <f t="shared" si="46"/>
        <v>#N/A</v>
      </c>
      <c r="AA127" t="e">
        <f t="shared" si="47"/>
        <v>#N/A</v>
      </c>
      <c r="AB127">
        <f>IF(COUNT($H134:$M134)=COUNT(M129:M134),COUNT($H134:$M134),"")</f>
        <v>0</v>
      </c>
      <c r="AC127">
        <f t="shared" si="50"/>
        <v>0</v>
      </c>
      <c r="AD127" t="e">
        <f t="shared" si="51"/>
        <v>#N/A</v>
      </c>
      <c r="AE127" t="e">
        <f>SUM(M129:M134)</f>
        <v>#N/A</v>
      </c>
      <c r="AF127" t="e">
        <f t="shared" si="48"/>
        <v>#N/A</v>
      </c>
      <c r="AG127">
        <v>0.1</v>
      </c>
    </row>
    <row r="128" spans="1:34" x14ac:dyDescent="0.25">
      <c r="A128">
        <v>1</v>
      </c>
      <c r="B128" t="e">
        <f>VLOOKUP(A128,$A$121:$C$126,2,FALSE)</f>
        <v>#N/A</v>
      </c>
      <c r="G128" s="172"/>
      <c r="H128" s="173"/>
      <c r="I128" s="173"/>
      <c r="J128" s="173"/>
      <c r="K128" s="173"/>
      <c r="L128" s="173"/>
      <c r="M128" s="173"/>
      <c r="P128" s="172"/>
      <c r="Q128" s="173"/>
      <c r="R128" s="173"/>
      <c r="S128" s="173"/>
      <c r="T128" s="173"/>
      <c r="U128" s="173"/>
      <c r="V128" s="173"/>
    </row>
    <row r="129" spans="1:22" x14ac:dyDescent="0.25">
      <c r="A129">
        <v>2</v>
      </c>
      <c r="B129" t="e">
        <f t="shared" ref="B129:B133" si="52">VLOOKUP(A129,$A$121:$C$126,2,FALSE)</f>
        <v>#N/A</v>
      </c>
      <c r="G129" t="e">
        <f t="shared" ref="G129:G134" si="53">B128</f>
        <v>#N/A</v>
      </c>
      <c r="H129" s="5"/>
      <c r="I129" t="e">
        <f>VLOOKUP($G129&amp;I$121,$A$4:$E$24,4,FALSE)</f>
        <v>#N/A</v>
      </c>
      <c r="J129" t="e">
        <f t="shared" ref="J129:M132" si="54">VLOOKUP($G129&amp;J$121,$A$4:$E$24,4,FALSE)</f>
        <v>#N/A</v>
      </c>
      <c r="K129" t="e">
        <f t="shared" si="54"/>
        <v>#N/A</v>
      </c>
      <c r="L129" t="e">
        <f t="shared" si="54"/>
        <v>#N/A</v>
      </c>
      <c r="M129" t="e">
        <f t="shared" si="54"/>
        <v>#N/A</v>
      </c>
      <c r="P129" t="e">
        <f t="shared" ref="P129:P134" si="55">G129</f>
        <v>#N/A</v>
      </c>
      <c r="Q129" s="5"/>
      <c r="R129" t="str">
        <f>IF(AND(ISNUMBER(I129),ISNUMBER(H130)),IF(I129&gt;H130,3,IF(I129&lt;H130,0,1)),"")</f>
        <v/>
      </c>
      <c r="S129" t="str">
        <f>IF(AND(ISNUMBER(J129),ISNUMBER(H131)),IF(J129&gt;H131,3,IF(J129&lt;H131,0,1)),"")</f>
        <v/>
      </c>
      <c r="T129" t="str">
        <f>IF(AND(ISNUMBER(K129),ISNUMBER(H132)),IF(K129&gt;H132,3,IF(K129&lt;H132,0,1)),"")</f>
        <v/>
      </c>
      <c r="U129" t="str">
        <f>IF(AND(ISNUMBER(L129),ISNUMBER(H133)),IF(L129&gt;H133,3,IF(L129&lt;H133,0,1)),"")</f>
        <v/>
      </c>
      <c r="V129" t="str">
        <f>IF(AND(ISNUMBER(M129),ISNUMBER(H134)),IF(M129&gt;H134,3,IF(M129&lt;H134,0,1)),"")</f>
        <v/>
      </c>
    </row>
    <row r="130" spans="1:22" x14ac:dyDescent="0.25">
      <c r="A130">
        <v>3</v>
      </c>
      <c r="B130" t="e">
        <f t="shared" si="52"/>
        <v>#N/A</v>
      </c>
      <c r="G130" t="e">
        <f t="shared" si="53"/>
        <v>#N/A</v>
      </c>
      <c r="H130" t="e">
        <f>VLOOKUP(H$121&amp;$G130,$A$4:$E$24,5,FALSE)</f>
        <v>#N/A</v>
      </c>
      <c r="I130" s="5"/>
      <c r="J130" t="e">
        <f t="shared" si="54"/>
        <v>#N/A</v>
      </c>
      <c r="K130" t="e">
        <f t="shared" si="54"/>
        <v>#N/A</v>
      </c>
      <c r="L130" t="e">
        <f t="shared" si="54"/>
        <v>#N/A</v>
      </c>
      <c r="M130" t="e">
        <f t="shared" si="54"/>
        <v>#N/A</v>
      </c>
      <c r="P130" t="e">
        <f t="shared" si="55"/>
        <v>#N/A</v>
      </c>
      <c r="Q130" t="str">
        <f>IF(AND(ISNUMBER(H130),ISNUMBER(I129)),IF(H130&gt;I129,3,IF(H130&lt;I129,0,1)),"")</f>
        <v/>
      </c>
      <c r="R130" s="5"/>
      <c r="S130" t="str">
        <f>IF(AND(ISNUMBER(J130),ISNUMBER(I131)),IF(J130&gt;I131,3,IF(J130&lt;I131,0,1)),"")</f>
        <v/>
      </c>
      <c r="T130" t="str">
        <f>IF(AND(ISNUMBER(K130),ISNUMBER(I132)),IF(K130&gt;I132,3,IF(K130&lt;I132,0,1)),"")</f>
        <v/>
      </c>
      <c r="U130" t="str">
        <f>IF(AND(ISNUMBER(L130),ISNUMBER(I133)),IF(L130&gt;I133,3,IF(L130&lt;I133,0,1)),"")</f>
        <v/>
      </c>
      <c r="V130" t="str">
        <f>IF(AND(ISNUMBER(M130),ISNUMBER(I134)),IF(M130&gt;I134,3,IF(M130&lt;I134,0,1)),"")</f>
        <v/>
      </c>
    </row>
    <row r="131" spans="1:22" x14ac:dyDescent="0.25">
      <c r="A131">
        <v>4</v>
      </c>
      <c r="B131" t="e">
        <f t="shared" si="52"/>
        <v>#N/A</v>
      </c>
      <c r="G131" t="e">
        <f t="shared" si="53"/>
        <v>#N/A</v>
      </c>
      <c r="H131" t="e">
        <f t="shared" ref="H131:L134" si="56">VLOOKUP(H$121&amp;$G131,$A$4:$E$24,5,FALSE)</f>
        <v>#N/A</v>
      </c>
      <c r="I131" t="e">
        <f t="shared" si="56"/>
        <v>#N/A</v>
      </c>
      <c r="J131" s="5"/>
      <c r="K131" t="e">
        <f t="shared" si="54"/>
        <v>#N/A</v>
      </c>
      <c r="L131" t="e">
        <f t="shared" si="54"/>
        <v>#N/A</v>
      </c>
      <c r="M131" t="e">
        <f t="shared" si="54"/>
        <v>#N/A</v>
      </c>
      <c r="P131" t="e">
        <f t="shared" si="55"/>
        <v>#N/A</v>
      </c>
      <c r="Q131" t="str">
        <f>IF(AND(ISNUMBER(H131),ISNUMBER(J129)),IF(H131&gt;J129,3,IF(H131&lt;J129,0,1)),"")</f>
        <v/>
      </c>
      <c r="R131" t="str">
        <f>IF(AND(ISNUMBER(I131),ISNUMBER(J130)),IF(I131&gt;J130,3,IF(I131&lt;J130,0,1)),"")</f>
        <v/>
      </c>
      <c r="S131" s="5"/>
      <c r="T131" t="str">
        <f>IF(AND(ISNUMBER(K131),ISNUMBER(J132)),IF(K131&gt;J132,3,IF(K131&lt;J132,0,1)),"")</f>
        <v/>
      </c>
      <c r="U131" t="str">
        <f>IF(AND(ISNUMBER(L131),ISNUMBER(J133)),IF(L131&gt;J133,3,IF(L131&lt;J133,0,1)),"")</f>
        <v/>
      </c>
      <c r="V131" t="str">
        <f>IF(AND(ISNUMBER(M131),ISNUMBER(J134)),IF(M131&gt;J134,3,IF(M131&lt;J134,0,1)),"")</f>
        <v/>
      </c>
    </row>
    <row r="132" spans="1:22" x14ac:dyDescent="0.25">
      <c r="A132">
        <v>5</v>
      </c>
      <c r="B132" t="e">
        <f t="shared" si="52"/>
        <v>#N/A</v>
      </c>
      <c r="G132" t="e">
        <f t="shared" si="53"/>
        <v>#N/A</v>
      </c>
      <c r="H132" t="e">
        <f t="shared" si="56"/>
        <v>#N/A</v>
      </c>
      <c r="I132" t="e">
        <f t="shared" si="56"/>
        <v>#N/A</v>
      </c>
      <c r="J132" t="e">
        <f t="shared" si="56"/>
        <v>#N/A</v>
      </c>
      <c r="K132" s="5"/>
      <c r="L132" t="e">
        <f t="shared" si="54"/>
        <v>#N/A</v>
      </c>
      <c r="M132" t="e">
        <f t="shared" si="54"/>
        <v>#N/A</v>
      </c>
      <c r="P132" t="e">
        <f t="shared" si="55"/>
        <v>#N/A</v>
      </c>
      <c r="Q132" t="str">
        <f>IF(AND(ISNUMBER(H132),ISNUMBER(K129)),IF(H132&gt;K129,3,IF(H132&lt;K129,0,1)),"")</f>
        <v/>
      </c>
      <c r="R132" t="str">
        <f>IF(AND(ISNUMBER(I132),ISNUMBER(K130)),IF(I132&gt;K130,3,IF(I132&lt;K130,0,1)),"")</f>
        <v/>
      </c>
      <c r="S132" t="str">
        <f>IF(AND(ISNUMBER(J132),ISNUMBER(K131)),IF(J132&gt;K131,3,IF(J132&lt;K131,0,1)),"")</f>
        <v/>
      </c>
      <c r="T132" s="5"/>
      <c r="U132" t="str">
        <f>IF(AND(ISNUMBER(L132),ISNUMBER(K133)),IF(L132&gt;K133,3,IF(L132&lt;K133,0,1)),"")</f>
        <v/>
      </c>
      <c r="V132" t="str">
        <f>IF(AND(ISNUMBER(M132),ISNUMBER(K134)),IF(M132&gt;K134,3,IF(M132&lt;K134,0,1)),"")</f>
        <v/>
      </c>
    </row>
    <row r="133" spans="1:22" x14ac:dyDescent="0.25">
      <c r="A133">
        <v>6</v>
      </c>
      <c r="B133" t="e">
        <f t="shared" si="52"/>
        <v>#N/A</v>
      </c>
      <c r="G133" t="e">
        <f t="shared" si="53"/>
        <v>#N/A</v>
      </c>
      <c r="H133" t="e">
        <f t="shared" si="56"/>
        <v>#N/A</v>
      </c>
      <c r="I133" t="e">
        <f t="shared" si="56"/>
        <v>#N/A</v>
      </c>
      <c r="J133" t="e">
        <f t="shared" si="56"/>
        <v>#N/A</v>
      </c>
      <c r="K133" t="e">
        <f t="shared" si="56"/>
        <v>#N/A</v>
      </c>
      <c r="L133" s="5"/>
      <c r="M133" t="e">
        <f>VLOOKUP($G133&amp;M$121,$A$4:$E$24,4,FALSE)</f>
        <v>#N/A</v>
      </c>
      <c r="P133" t="e">
        <f t="shared" si="55"/>
        <v>#N/A</v>
      </c>
      <c r="Q133" t="str">
        <f>IF(AND(ISNUMBER(H133),ISNUMBER(L129)),IF(H133&gt;L129,3,IF(H133&lt;L129,0,1)),"")</f>
        <v/>
      </c>
      <c r="R133" t="str">
        <f>IF(AND(ISNUMBER(I133),ISNUMBER(L130)),IF(I133&gt;L130,3,IF(I133&lt;L130,0,1)),"")</f>
        <v/>
      </c>
      <c r="S133" t="str">
        <f>IF(AND(ISNUMBER(J133),ISNUMBER(L131)),IF(J133&gt;L131,3,IF(J133&lt;L131,0,1)),"")</f>
        <v/>
      </c>
      <c r="T133" t="str">
        <f>IF(AND(ISNUMBER(K133),ISNUMBER(L132)),IF(K133&gt;L132,3,IF(K133&lt;L132,0,1)),"")</f>
        <v/>
      </c>
      <c r="U133" s="5"/>
      <c r="V133" t="str">
        <f>IF(AND(ISNUMBER(M133),ISNUMBER(L134)),IF(M133&gt;L134,3,IF(M133&lt;L134,0,1)),"")</f>
        <v/>
      </c>
    </row>
    <row r="134" spans="1:22" x14ac:dyDescent="0.25">
      <c r="G134" t="e">
        <f t="shared" si="53"/>
        <v>#N/A</v>
      </c>
      <c r="H134" t="e">
        <f t="shared" si="56"/>
        <v>#N/A</v>
      </c>
      <c r="I134" t="e">
        <f t="shared" si="56"/>
        <v>#N/A</v>
      </c>
      <c r="J134" t="e">
        <f t="shared" si="56"/>
        <v>#N/A</v>
      </c>
      <c r="K134" t="e">
        <f t="shared" si="56"/>
        <v>#N/A</v>
      </c>
      <c r="L134" t="e">
        <f t="shared" si="56"/>
        <v>#N/A</v>
      </c>
      <c r="M134" s="5"/>
      <c r="P134" t="e">
        <f t="shared" si="55"/>
        <v>#N/A</v>
      </c>
      <c r="Q134" t="str">
        <f>IF(AND(ISNUMBER(H134),ISNUMBER(M129)),IF(H134&gt;M129,3,IF(H134&lt;M129,0,1)),"")</f>
        <v/>
      </c>
      <c r="R134" t="str">
        <f>IF(AND(ISNUMBER(I134),ISNUMBER(M130)),IF(I134&gt;M130,3,IF(I134&lt;M130,0,1)),"")</f>
        <v/>
      </c>
      <c r="S134" t="str">
        <f>IF(AND(ISNUMBER(J134),ISNUMBER(M131)),IF(J134&gt;M131,3,IF(J134&lt;M131,0,1)),"")</f>
        <v/>
      </c>
      <c r="T134" t="str">
        <f>IF(AND(ISNUMBER(K134),ISNUMBER(M132)),IF(K134&gt;M132,3,IF(K134&lt;M132,0,1)),"")</f>
        <v/>
      </c>
      <c r="U134" t="str">
        <f>IF(AND(ISNUMBER(L134),ISNUMBER(M133)),IF(L134&gt;M133,3,IF(L134&lt;M133,0,1)),"")</f>
        <v/>
      </c>
      <c r="V134" s="5"/>
    </row>
  </sheetData>
  <mergeCells count="83">
    <mergeCell ref="V4:V11"/>
    <mergeCell ref="W4:W11"/>
    <mergeCell ref="G4:G11"/>
    <mergeCell ref="P4:P11"/>
    <mergeCell ref="H4:H11"/>
    <mergeCell ref="I4:I11"/>
    <mergeCell ref="R29:R36"/>
    <mergeCell ref="S29:S36"/>
    <mergeCell ref="G29:G36"/>
    <mergeCell ref="H29:H36"/>
    <mergeCell ref="I29:I36"/>
    <mergeCell ref="J29:J36"/>
    <mergeCell ref="R47:R54"/>
    <mergeCell ref="A2:AH2"/>
    <mergeCell ref="A27:AH27"/>
    <mergeCell ref="L4:L11"/>
    <mergeCell ref="M4:M11"/>
    <mergeCell ref="N4:N11"/>
    <mergeCell ref="U4:U11"/>
    <mergeCell ref="D3:E3"/>
    <mergeCell ref="J4:J11"/>
    <mergeCell ref="K4:K11"/>
    <mergeCell ref="Q4:Q11"/>
    <mergeCell ref="R4:R11"/>
    <mergeCell ref="S4:S11"/>
    <mergeCell ref="T4:T11"/>
    <mergeCell ref="P29:P36"/>
    <mergeCell ref="Q29:Q36"/>
    <mergeCell ref="A42:AH42"/>
    <mergeCell ref="A43:AH43"/>
    <mergeCell ref="A60:AH60"/>
    <mergeCell ref="G64:G71"/>
    <mergeCell ref="H64:H71"/>
    <mergeCell ref="I64:I71"/>
    <mergeCell ref="P64:P71"/>
    <mergeCell ref="Q64:Q71"/>
    <mergeCell ref="R64:R71"/>
    <mergeCell ref="J64:J71"/>
    <mergeCell ref="S64:S71"/>
    <mergeCell ref="G47:G54"/>
    <mergeCell ref="H47:H54"/>
    <mergeCell ref="I47:I54"/>
    <mergeCell ref="P47:P54"/>
    <mergeCell ref="Q47:Q54"/>
    <mergeCell ref="A78:AH78"/>
    <mergeCell ref="G82:G89"/>
    <mergeCell ref="H82:H89"/>
    <mergeCell ref="I82:I89"/>
    <mergeCell ref="J82:J89"/>
    <mergeCell ref="K82:K89"/>
    <mergeCell ref="P82:P89"/>
    <mergeCell ref="Q82:Q89"/>
    <mergeCell ref="R82:R89"/>
    <mergeCell ref="S82:S89"/>
    <mergeCell ref="T82:T89"/>
    <mergeCell ref="A97:AH97"/>
    <mergeCell ref="G101:G108"/>
    <mergeCell ref="H101:H108"/>
    <mergeCell ref="I101:I108"/>
    <mergeCell ref="J101:J108"/>
    <mergeCell ref="K101:K108"/>
    <mergeCell ref="L101:L108"/>
    <mergeCell ref="P101:P108"/>
    <mergeCell ref="Q101:Q108"/>
    <mergeCell ref="R101:R108"/>
    <mergeCell ref="S101:S108"/>
    <mergeCell ref="T101:T108"/>
    <mergeCell ref="U101:U108"/>
    <mergeCell ref="A117:AH117"/>
    <mergeCell ref="G121:G128"/>
    <mergeCell ref="H121:H128"/>
    <mergeCell ref="I121:I128"/>
    <mergeCell ref="J121:J128"/>
    <mergeCell ref="K121:K128"/>
    <mergeCell ref="L121:L128"/>
    <mergeCell ref="M121:M128"/>
    <mergeCell ref="P121:P128"/>
    <mergeCell ref="Q121:Q128"/>
    <mergeCell ref="R121:R128"/>
    <mergeCell ref="S121:S128"/>
    <mergeCell ref="T121:T128"/>
    <mergeCell ref="U121:U128"/>
    <mergeCell ref="V121:V128"/>
  </mergeCells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D409-7B2C-4479-B257-457AF1FF7269}">
  <dimension ref="A2:AH134"/>
  <sheetViews>
    <sheetView topLeftCell="H103" workbookViewId="0">
      <selection activeCell="Z122" sqref="Z122"/>
    </sheetView>
  </sheetViews>
  <sheetFormatPr baseColWidth="10" defaultRowHeight="15" x14ac:dyDescent="0.25"/>
  <cols>
    <col min="1" max="1" width="42.7109375" bestFit="1" customWidth="1"/>
    <col min="2" max="3" width="21.85546875" bestFit="1" customWidth="1"/>
    <col min="4" max="5" width="4.5703125" customWidth="1"/>
    <col min="6" max="6" width="5" customWidth="1"/>
    <col min="7" max="7" width="21.85546875" bestFit="1" customWidth="1"/>
    <col min="8" max="9" width="3.7109375" customWidth="1"/>
    <col min="10" max="12" width="3.7109375" bestFit="1" customWidth="1"/>
    <col min="13" max="13" width="3.7109375" customWidth="1"/>
    <col min="14" max="14" width="3.7109375" bestFit="1" customWidth="1"/>
    <col min="15" max="15" width="6.7109375" customWidth="1"/>
    <col min="16" max="16" width="21.85546875" bestFit="1" customWidth="1"/>
    <col min="17" max="23" width="3.7109375" customWidth="1"/>
    <col min="24" max="24" width="6.7109375" customWidth="1"/>
    <col min="25" max="25" width="5.7109375" customWidth="1"/>
    <col min="27" max="27" width="21.85546875" bestFit="1" customWidth="1"/>
  </cols>
  <sheetData>
    <row r="2" spans="1:34" x14ac:dyDescent="0.25">
      <c r="A2" s="171" t="s">
        <v>1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1"/>
    </row>
    <row r="3" spans="1:34" x14ac:dyDescent="0.25">
      <c r="B3" t="s">
        <v>49</v>
      </c>
      <c r="C3" t="s">
        <v>50</v>
      </c>
      <c r="D3" s="148" t="s">
        <v>10</v>
      </c>
      <c r="E3" s="148"/>
    </row>
    <row r="4" spans="1:34" x14ac:dyDescent="0.25">
      <c r="A4" t="str">
        <f>B4&amp;C4</f>
        <v>SKV Mörfelden TitansEinradfüchse</v>
      </c>
      <c r="B4" t="str">
        <f>Tippspiel!F17</f>
        <v>SKV Mörfelden Titans</v>
      </c>
      <c r="C4" t="str">
        <f>Tippspiel!K17</f>
        <v>Einradfüchse</v>
      </c>
      <c r="D4" t="str">
        <f>IF(ISNUMBER(Tippspiel!M17),Tippspiel!M17,"")</f>
        <v/>
      </c>
      <c r="E4" t="str">
        <f>IF(ISNUMBER(Tippspiel!O17),Tippspiel!O17,"")</f>
        <v/>
      </c>
      <c r="G4" s="172" t="s">
        <v>47</v>
      </c>
      <c r="H4" s="173" t="s">
        <v>3</v>
      </c>
      <c r="I4" s="173" t="s">
        <v>4</v>
      </c>
      <c r="J4" s="173" t="s">
        <v>5</v>
      </c>
      <c r="K4" s="173" t="s">
        <v>6</v>
      </c>
      <c r="L4" s="173" t="s">
        <v>7</v>
      </c>
      <c r="M4" s="173" t="s">
        <v>8</v>
      </c>
      <c r="N4" s="173" t="s">
        <v>9</v>
      </c>
      <c r="P4" s="172" t="s">
        <v>46</v>
      </c>
      <c r="Q4" s="173" t="s">
        <v>3</v>
      </c>
      <c r="R4" s="173" t="s">
        <v>4</v>
      </c>
      <c r="S4" s="173" t="s">
        <v>5</v>
      </c>
      <c r="T4" s="173" t="s">
        <v>6</v>
      </c>
      <c r="U4" s="173" t="s">
        <v>7</v>
      </c>
      <c r="V4" s="173" t="s">
        <v>8</v>
      </c>
      <c r="W4" s="173" t="s">
        <v>9</v>
      </c>
      <c r="AA4" s="4" t="s">
        <v>53</v>
      </c>
      <c r="AB4" s="4" t="s">
        <v>45</v>
      </c>
      <c r="AC4" s="4" t="s">
        <v>46</v>
      </c>
      <c r="AD4" s="4" t="s">
        <v>47</v>
      </c>
      <c r="AE4" s="4" t="s">
        <v>48</v>
      </c>
      <c r="AF4" s="4" t="s">
        <v>51</v>
      </c>
      <c r="AG4" s="4" t="s">
        <v>52</v>
      </c>
    </row>
    <row r="5" spans="1:34" x14ac:dyDescent="0.25">
      <c r="A5" t="str">
        <f t="shared" ref="A5:A24" si="0">B5&amp;C5</f>
        <v>SKV Mörfelden PhönixDresdner Einradtiger</v>
      </c>
      <c r="B5" t="str">
        <f>Tippspiel!F18</f>
        <v>SKV Mörfelden Phönix</v>
      </c>
      <c r="C5" t="str">
        <f>Tippspiel!K18</f>
        <v>Dresdner Einradtiger</v>
      </c>
      <c r="D5" t="str">
        <f>IF(ISNUMBER(Tippspiel!M18),Tippspiel!M18,"")</f>
        <v/>
      </c>
      <c r="E5" t="str">
        <f>IF(ISNUMBER(Tippspiel!O18),Tippspiel!O18,"")</f>
        <v/>
      </c>
      <c r="G5" s="172"/>
      <c r="H5" s="173"/>
      <c r="I5" s="173"/>
      <c r="J5" s="173"/>
      <c r="K5" s="173"/>
      <c r="L5" s="173"/>
      <c r="M5" s="173"/>
      <c r="N5" s="173"/>
      <c r="P5" s="172"/>
      <c r="Q5" s="173"/>
      <c r="R5" s="173"/>
      <c r="S5" s="173"/>
      <c r="T5" s="173"/>
      <c r="U5" s="173"/>
      <c r="V5" s="173"/>
      <c r="W5" s="173"/>
      <c r="Y5">
        <f t="shared" ref="Y5:Y11" si="1">RANK(Z5,$Z$5:$Z$11)</f>
        <v>1</v>
      </c>
      <c r="Z5">
        <f>10000*AC5+100*AD5+AG5</f>
        <v>0.7</v>
      </c>
      <c r="AA5" t="s">
        <v>3</v>
      </c>
      <c r="AB5">
        <f>IF(COUNT($H12:$N12)=COUNT(H12:H18),COUNT($H12:$N12),"")</f>
        <v>0</v>
      </c>
      <c r="AC5">
        <f t="shared" ref="AC5:AC11" si="2">SUM(Q12:W12)</f>
        <v>0</v>
      </c>
      <c r="AD5">
        <f t="shared" ref="AD5:AD11" si="3">SUM(H12:N12)</f>
        <v>0</v>
      </c>
      <c r="AE5">
        <f>SUM(H12:H18)</f>
        <v>0</v>
      </c>
      <c r="AF5">
        <f>AD5-AE5</f>
        <v>0</v>
      </c>
      <c r="AG5">
        <v>0.7</v>
      </c>
    </row>
    <row r="6" spans="1:34" x14ac:dyDescent="0.25">
      <c r="A6" t="str">
        <f t="shared" si="0"/>
        <v>BTC Baukau BoogaloosTV Lilienthal Moorteufel</v>
      </c>
      <c r="B6" t="str">
        <f>Tippspiel!F19</f>
        <v>BTC Baukau Boogaloos</v>
      </c>
      <c r="C6" t="str">
        <f>Tippspiel!K19</f>
        <v>TV Lilienthal Moorteufel</v>
      </c>
      <c r="D6" t="str">
        <f>IF(ISNUMBER(Tippspiel!M19),Tippspiel!M19,"")</f>
        <v/>
      </c>
      <c r="E6" t="str">
        <f>IF(ISNUMBER(Tippspiel!O19),Tippspiel!O19,"")</f>
        <v/>
      </c>
      <c r="G6" s="172"/>
      <c r="H6" s="173"/>
      <c r="I6" s="173"/>
      <c r="J6" s="173"/>
      <c r="K6" s="173"/>
      <c r="L6" s="173"/>
      <c r="M6" s="173"/>
      <c r="N6" s="173"/>
      <c r="P6" s="172"/>
      <c r="Q6" s="173"/>
      <c r="R6" s="173"/>
      <c r="S6" s="173"/>
      <c r="T6" s="173"/>
      <c r="U6" s="173"/>
      <c r="V6" s="173"/>
      <c r="W6" s="173"/>
      <c r="Y6">
        <f t="shared" si="1"/>
        <v>2</v>
      </c>
      <c r="Z6">
        <f t="shared" ref="Z6:Z11" si="4">10000*AC6+100*AD6+AG6</f>
        <v>0.6</v>
      </c>
      <c r="AA6" t="s">
        <v>4</v>
      </c>
      <c r="AB6">
        <f>IF(COUNT($H13:$N13)=COUNT(I12:I18),COUNT($H13:$N13),"")</f>
        <v>0</v>
      </c>
      <c r="AC6">
        <f t="shared" si="2"/>
        <v>0</v>
      </c>
      <c r="AD6">
        <f t="shared" si="3"/>
        <v>0</v>
      </c>
      <c r="AE6">
        <f>SUM(I12:I18)</f>
        <v>0</v>
      </c>
      <c r="AF6">
        <f t="shared" ref="AF6:AF11" si="5">AD6-AE6</f>
        <v>0</v>
      </c>
      <c r="AG6">
        <v>0.6</v>
      </c>
    </row>
    <row r="7" spans="1:34" x14ac:dyDescent="0.25">
      <c r="A7" t="str">
        <f t="shared" si="0"/>
        <v>Black StarsEinradfüchse</v>
      </c>
      <c r="B7" t="str">
        <f>Tippspiel!F20</f>
        <v>Black Stars</v>
      </c>
      <c r="C7" t="str">
        <f>Tippspiel!K20</f>
        <v>Einradfüchse</v>
      </c>
      <c r="D7" t="str">
        <f>IF(ISNUMBER(Tippspiel!M20),Tippspiel!M20,"")</f>
        <v/>
      </c>
      <c r="E7" t="str">
        <f>IF(ISNUMBER(Tippspiel!O20),Tippspiel!O20,"")</f>
        <v/>
      </c>
      <c r="G7" s="172"/>
      <c r="H7" s="173"/>
      <c r="I7" s="173"/>
      <c r="J7" s="173"/>
      <c r="K7" s="173"/>
      <c r="L7" s="173"/>
      <c r="M7" s="173"/>
      <c r="N7" s="173"/>
      <c r="P7" s="172"/>
      <c r="Q7" s="173"/>
      <c r="R7" s="173"/>
      <c r="S7" s="173"/>
      <c r="T7" s="173"/>
      <c r="U7" s="173"/>
      <c r="V7" s="173"/>
      <c r="W7" s="173"/>
      <c r="Y7">
        <f t="shared" si="1"/>
        <v>3</v>
      </c>
      <c r="Z7">
        <f t="shared" si="4"/>
        <v>0.5</v>
      </c>
      <c r="AA7" t="s">
        <v>5</v>
      </c>
      <c r="AB7">
        <f>IF(COUNT($H14:$N14)=COUNT(J12:J18),COUNT($H14:$N14),"")</f>
        <v>0</v>
      </c>
      <c r="AC7">
        <f t="shared" si="2"/>
        <v>0</v>
      </c>
      <c r="AD7">
        <f t="shared" si="3"/>
        <v>0</v>
      </c>
      <c r="AE7">
        <f>SUM(J12:J18)</f>
        <v>0</v>
      </c>
      <c r="AF7">
        <f t="shared" si="5"/>
        <v>0</v>
      </c>
      <c r="AG7">
        <v>0.5</v>
      </c>
    </row>
    <row r="8" spans="1:34" x14ac:dyDescent="0.25">
      <c r="A8" t="str">
        <f t="shared" si="0"/>
        <v>SKV Mörfelden TitansDresdner Einradtiger</v>
      </c>
      <c r="B8" t="str">
        <f>Tippspiel!F21</f>
        <v>SKV Mörfelden Titans</v>
      </c>
      <c r="C8" t="str">
        <f>Tippspiel!K21</f>
        <v>Dresdner Einradtiger</v>
      </c>
      <c r="D8" t="str">
        <f>IF(ISNUMBER(Tippspiel!M21),Tippspiel!M21,"")</f>
        <v/>
      </c>
      <c r="E8" t="str">
        <f>IF(ISNUMBER(Tippspiel!O21),Tippspiel!O21,"")</f>
        <v/>
      </c>
      <c r="G8" s="172"/>
      <c r="H8" s="173"/>
      <c r="I8" s="173"/>
      <c r="J8" s="173"/>
      <c r="K8" s="173"/>
      <c r="L8" s="173"/>
      <c r="M8" s="173"/>
      <c r="N8" s="173"/>
      <c r="P8" s="172"/>
      <c r="Q8" s="173"/>
      <c r="R8" s="173"/>
      <c r="S8" s="173"/>
      <c r="T8" s="173"/>
      <c r="U8" s="173"/>
      <c r="V8" s="173"/>
      <c r="W8" s="173"/>
      <c r="Y8">
        <f t="shared" si="1"/>
        <v>4</v>
      </c>
      <c r="Z8">
        <f t="shared" si="4"/>
        <v>0.4</v>
      </c>
      <c r="AA8" t="s">
        <v>6</v>
      </c>
      <c r="AB8">
        <f>IF(COUNT($H15:$N15)=COUNT(K12:K18),COUNT($H15:$N15),"")</f>
        <v>0</v>
      </c>
      <c r="AC8">
        <f t="shared" si="2"/>
        <v>0</v>
      </c>
      <c r="AD8">
        <f t="shared" si="3"/>
        <v>0</v>
      </c>
      <c r="AE8">
        <f>SUM(K12:K18)</f>
        <v>0</v>
      </c>
      <c r="AF8">
        <f t="shared" si="5"/>
        <v>0</v>
      </c>
      <c r="AG8">
        <v>0.4</v>
      </c>
    </row>
    <row r="9" spans="1:34" x14ac:dyDescent="0.25">
      <c r="A9" t="str">
        <f t="shared" si="0"/>
        <v>SKV Mörfelden PhönixTV Lilienthal Moorteufel</v>
      </c>
      <c r="B9" t="str">
        <f>Tippspiel!F22</f>
        <v>SKV Mörfelden Phönix</v>
      </c>
      <c r="C9" t="str">
        <f>Tippspiel!K22</f>
        <v>TV Lilienthal Moorteufel</v>
      </c>
      <c r="D9" t="str">
        <f>IF(ISNUMBER(Tippspiel!M22),Tippspiel!M22,"")</f>
        <v/>
      </c>
      <c r="E9" t="str">
        <f>IF(ISNUMBER(Tippspiel!O22),Tippspiel!O22,"")</f>
        <v/>
      </c>
      <c r="G9" s="172"/>
      <c r="H9" s="173"/>
      <c r="I9" s="173"/>
      <c r="J9" s="173"/>
      <c r="K9" s="173"/>
      <c r="L9" s="173"/>
      <c r="M9" s="173"/>
      <c r="N9" s="173"/>
      <c r="P9" s="172"/>
      <c r="Q9" s="173"/>
      <c r="R9" s="173"/>
      <c r="S9" s="173"/>
      <c r="T9" s="173"/>
      <c r="U9" s="173"/>
      <c r="V9" s="173"/>
      <c r="W9" s="173"/>
      <c r="Y9">
        <f t="shared" si="1"/>
        <v>5</v>
      </c>
      <c r="Z9">
        <f t="shared" si="4"/>
        <v>0.3</v>
      </c>
      <c r="AA9" t="s">
        <v>7</v>
      </c>
      <c r="AB9">
        <f>IF(COUNT($H16:$N16)=COUNT(L12:L18),COUNT($H16:$N16),"")</f>
        <v>0</v>
      </c>
      <c r="AC9">
        <f t="shared" si="2"/>
        <v>0</v>
      </c>
      <c r="AD9">
        <f t="shared" si="3"/>
        <v>0</v>
      </c>
      <c r="AE9">
        <f>SUM(L12:L18)</f>
        <v>0</v>
      </c>
      <c r="AF9">
        <f t="shared" si="5"/>
        <v>0</v>
      </c>
      <c r="AG9">
        <v>0.3</v>
      </c>
    </row>
    <row r="10" spans="1:34" x14ac:dyDescent="0.25">
      <c r="A10" t="str">
        <f t="shared" si="0"/>
        <v>BTC Baukau BoogaloosBlack Stars</v>
      </c>
      <c r="B10" t="str">
        <f>Tippspiel!F23</f>
        <v>BTC Baukau Boogaloos</v>
      </c>
      <c r="C10" t="str">
        <f>Tippspiel!K23</f>
        <v>Black Stars</v>
      </c>
      <c r="D10" t="str">
        <f>IF(ISNUMBER(Tippspiel!M23),Tippspiel!M23,"")</f>
        <v/>
      </c>
      <c r="E10" t="str">
        <f>IF(ISNUMBER(Tippspiel!O23),Tippspiel!O23,"")</f>
        <v/>
      </c>
      <c r="G10" s="172"/>
      <c r="H10" s="173"/>
      <c r="I10" s="173"/>
      <c r="J10" s="173"/>
      <c r="K10" s="173"/>
      <c r="L10" s="173"/>
      <c r="M10" s="173"/>
      <c r="N10" s="173"/>
      <c r="P10" s="172"/>
      <c r="Q10" s="173"/>
      <c r="R10" s="173"/>
      <c r="S10" s="173"/>
      <c r="T10" s="173"/>
      <c r="U10" s="173"/>
      <c r="V10" s="173"/>
      <c r="W10" s="173"/>
      <c r="Y10">
        <f t="shared" si="1"/>
        <v>6</v>
      </c>
      <c r="Z10">
        <f t="shared" si="4"/>
        <v>0.2</v>
      </c>
      <c r="AA10" t="s">
        <v>8</v>
      </c>
      <c r="AB10">
        <f>IF(COUNT($H17:$N17)=COUNT(M12:M18),COUNT($H17:$N17),"")</f>
        <v>0</v>
      </c>
      <c r="AC10">
        <f t="shared" si="2"/>
        <v>0</v>
      </c>
      <c r="AD10">
        <f t="shared" si="3"/>
        <v>0</v>
      </c>
      <c r="AE10">
        <f>SUM(M12:M18)</f>
        <v>0</v>
      </c>
      <c r="AF10">
        <f t="shared" si="5"/>
        <v>0</v>
      </c>
      <c r="AG10">
        <v>0.2</v>
      </c>
    </row>
    <row r="11" spans="1:34" x14ac:dyDescent="0.25">
      <c r="A11" t="str">
        <f t="shared" si="0"/>
        <v>Dresdner EinradtigerEinradfüchse</v>
      </c>
      <c r="B11" t="str">
        <f>Tippspiel!F24</f>
        <v>Dresdner Einradtiger</v>
      </c>
      <c r="C11" t="str">
        <f>Tippspiel!K24</f>
        <v>Einradfüchse</v>
      </c>
      <c r="D11" t="str">
        <f>IF(ISNUMBER(Tippspiel!M24),Tippspiel!M24,"")</f>
        <v/>
      </c>
      <c r="E11" t="str">
        <f>IF(ISNUMBER(Tippspiel!O24),Tippspiel!O24,"")</f>
        <v/>
      </c>
      <c r="G11" s="172"/>
      <c r="H11" s="173"/>
      <c r="I11" s="173"/>
      <c r="J11" s="173"/>
      <c r="K11" s="173"/>
      <c r="L11" s="173"/>
      <c r="M11" s="173"/>
      <c r="N11" s="173"/>
      <c r="P11" s="172"/>
      <c r="Q11" s="173"/>
      <c r="R11" s="173"/>
      <c r="S11" s="173"/>
      <c r="T11" s="173"/>
      <c r="U11" s="173"/>
      <c r="V11" s="173"/>
      <c r="W11" s="173"/>
      <c r="Y11">
        <f t="shared" si="1"/>
        <v>7</v>
      </c>
      <c r="Z11">
        <f t="shared" si="4"/>
        <v>0.1</v>
      </c>
      <c r="AA11" t="s">
        <v>9</v>
      </c>
      <c r="AB11">
        <f>IF(COUNT($H18:$N18)=COUNT(N12:N18),COUNT($H18:$N18),"")</f>
        <v>0</v>
      </c>
      <c r="AC11">
        <f t="shared" si="2"/>
        <v>0</v>
      </c>
      <c r="AD11">
        <f t="shared" si="3"/>
        <v>0</v>
      </c>
      <c r="AE11">
        <f>SUM(N12:N18)</f>
        <v>0</v>
      </c>
      <c r="AF11">
        <f t="shared" si="5"/>
        <v>0</v>
      </c>
      <c r="AG11">
        <v>0.1</v>
      </c>
    </row>
    <row r="12" spans="1:34" x14ac:dyDescent="0.25">
      <c r="A12" t="str">
        <f t="shared" si="0"/>
        <v>SKV Mörfelden TitansTV Lilienthal Moorteufel</v>
      </c>
      <c r="B12" t="str">
        <f>Tippspiel!F25</f>
        <v>SKV Mörfelden Titans</v>
      </c>
      <c r="C12" t="str">
        <f>Tippspiel!K25</f>
        <v>TV Lilienthal Moorteufel</v>
      </c>
      <c r="D12" t="str">
        <f>IF(ISNUMBER(Tippspiel!M25),Tippspiel!M25,"")</f>
        <v/>
      </c>
      <c r="E12" t="str">
        <f>IF(ISNUMBER(Tippspiel!O25),Tippspiel!O25,"")</f>
        <v/>
      </c>
      <c r="G12" t="s">
        <v>3</v>
      </c>
      <c r="H12" s="5"/>
      <c r="I12" t="str">
        <f t="shared" ref="I12:N16" si="6">VLOOKUP($G12&amp;I$4,$A$4:$E$24,4,FALSE)</f>
        <v/>
      </c>
      <c r="J12" t="str">
        <f t="shared" si="6"/>
        <v/>
      </c>
      <c r="K12" t="str">
        <f t="shared" si="6"/>
        <v/>
      </c>
      <c r="L12" t="str">
        <f t="shared" si="6"/>
        <v/>
      </c>
      <c r="M12" t="str">
        <f t="shared" si="6"/>
        <v/>
      </c>
      <c r="N12" t="str">
        <f t="shared" si="6"/>
        <v/>
      </c>
      <c r="P12" t="s">
        <v>3</v>
      </c>
      <c r="Q12" s="5"/>
      <c r="R12" t="str">
        <f>IF(AND(ISNUMBER(I12),ISNUMBER(H13)),IF(I12&gt;H13,3,IF(I12&lt;H13,0,1)),"")</f>
        <v/>
      </c>
      <c r="S12" t="str">
        <f>IF(AND(ISNUMBER(J12),ISNUMBER(H14)),IF(J12&gt;H14,3,IF(J12&lt;H14,0,1)),"")</f>
        <v/>
      </c>
      <c r="T12" t="str">
        <f>IF(AND(ISNUMBER(K12),ISNUMBER(H15)),IF(K12&gt;H15,3,IF(K12&lt;H15,0,1)),"")</f>
        <v/>
      </c>
      <c r="U12" t="str">
        <f>IF(AND(ISNUMBER(L12),ISNUMBER(H16)),IF(L12&gt;H16,3,IF(L12&lt;H16,0,1)),"")</f>
        <v/>
      </c>
      <c r="V12" t="str">
        <f>IF(AND(ISNUMBER(M12),ISNUMBER(H17)),IF(M12&gt;H17,3,IF(M12&lt;H17,0,1)),"")</f>
        <v/>
      </c>
      <c r="W12" t="str">
        <f>IF(AND(ISNUMBER(N12),ISNUMBER(H18)),IF(N12&gt;H18,3,IF(N12&lt;H18,0,1)),"")</f>
        <v/>
      </c>
      <c r="AA12" t="b">
        <f>AND(AB12,AC12)</f>
        <v>0</v>
      </c>
      <c r="AB12" t="b">
        <f>SUM(AB5:AB11)=COUNT(AB5:AB11)*(COUNTA(AA5:AA11)-1)</f>
        <v>0</v>
      </c>
      <c r="AC12" t="b" cm="1">
        <f t="array" ref="AC12">OR(COUNTIF(AC5:AC11,AC5:AC11)&gt;1)</f>
        <v>1</v>
      </c>
    </row>
    <row r="13" spans="1:34" x14ac:dyDescent="0.25">
      <c r="A13" t="str">
        <f t="shared" si="0"/>
        <v>SKV Mörfelden PhönixBlack Stars</v>
      </c>
      <c r="B13" t="str">
        <f>Tippspiel!F26</f>
        <v>SKV Mörfelden Phönix</v>
      </c>
      <c r="C13" t="str">
        <f>Tippspiel!K26</f>
        <v>Black Stars</v>
      </c>
      <c r="D13" t="str">
        <f>IF(ISNUMBER(Tippspiel!M26),Tippspiel!M26,"")</f>
        <v/>
      </c>
      <c r="E13" t="str">
        <f>IF(ISNUMBER(Tippspiel!O26),Tippspiel!O26,"")</f>
        <v/>
      </c>
      <c r="G13" t="s">
        <v>4</v>
      </c>
      <c r="H13" t="str">
        <f>VLOOKUP(H$4&amp;$G13,$A$4:$E$24,5,FALSE)</f>
        <v/>
      </c>
      <c r="I13" s="5"/>
      <c r="J13" t="str">
        <f t="shared" si="6"/>
        <v/>
      </c>
      <c r="K13" t="str">
        <f t="shared" si="6"/>
        <v/>
      </c>
      <c r="L13" t="str">
        <f t="shared" si="6"/>
        <v/>
      </c>
      <c r="M13" t="str">
        <f t="shared" si="6"/>
        <v/>
      </c>
      <c r="N13" t="str">
        <f t="shared" si="6"/>
        <v/>
      </c>
      <c r="P13" t="s">
        <v>4</v>
      </c>
      <c r="Q13" t="str">
        <f>IF(AND(ISNUMBER(H13),ISNUMBER(I12)),IF(H13&gt;I12,3,IF(H13&lt;I12,0,1)),"")</f>
        <v/>
      </c>
      <c r="R13" s="5"/>
      <c r="S13" t="str">
        <f>IF(AND(ISNUMBER(J13),ISNUMBER(I14)),IF(J13&gt;I14,3,IF(J13&lt;I14,0,1)),"")</f>
        <v/>
      </c>
      <c r="T13" t="str">
        <f>IF(AND(ISNUMBER(K13),ISNUMBER(I15)),IF(K13&gt;I15,3,IF(K13&lt;I15,0,1)),"")</f>
        <v/>
      </c>
      <c r="U13" t="str">
        <f>IF(AND(ISNUMBER(L13),ISNUMBER(I16)),IF(L13&gt;I16,3,IF(L13&lt;I16,0,1)),"")</f>
        <v/>
      </c>
      <c r="V13" t="str">
        <f>IF(AND(ISNUMBER(M13),ISNUMBER(I17)),IF(M13&gt;I17,3,IF(M13&lt;I17,0,1)),"")</f>
        <v/>
      </c>
      <c r="W13" t="str">
        <f>IF(AND(ISNUMBER(N13),ISNUMBER(I18)),IF(N13&gt;I18,3,IF(N13&lt;I18,0,1)),"")</f>
        <v/>
      </c>
    </row>
    <row r="14" spans="1:34" x14ac:dyDescent="0.25">
      <c r="A14" t="str">
        <f t="shared" si="0"/>
        <v>BTC Baukau BoogaloosEinradfüchse</v>
      </c>
      <c r="B14" t="str">
        <f>Tippspiel!F27</f>
        <v>BTC Baukau Boogaloos</v>
      </c>
      <c r="C14" t="str">
        <f>Tippspiel!K27</f>
        <v>Einradfüchse</v>
      </c>
      <c r="D14" t="str">
        <f>IF(ISNUMBER(Tippspiel!M27),Tippspiel!M27,"")</f>
        <v/>
      </c>
      <c r="E14" t="str">
        <f>IF(ISNUMBER(Tippspiel!O27),Tippspiel!O27,"")</f>
        <v/>
      </c>
      <c r="G14" t="s">
        <v>5</v>
      </c>
      <c r="H14" t="str">
        <f t="shared" ref="H14:L18" si="7">VLOOKUP(H$4&amp;$G14,$A$4:$E$24,5,FALSE)</f>
        <v/>
      </c>
      <c r="I14" t="str">
        <f t="shared" si="7"/>
        <v/>
      </c>
      <c r="J14" s="5"/>
      <c r="K14" t="str">
        <f t="shared" si="6"/>
        <v/>
      </c>
      <c r="L14" t="str">
        <f t="shared" si="6"/>
        <v/>
      </c>
      <c r="M14" t="str">
        <f t="shared" si="6"/>
        <v/>
      </c>
      <c r="N14" t="str">
        <f t="shared" si="6"/>
        <v/>
      </c>
      <c r="P14" t="s">
        <v>5</v>
      </c>
      <c r="Q14" t="str">
        <f>IF(AND(ISNUMBER(H14),ISNUMBER(J12)),IF(H14&gt;J12,3,IF(H14&lt;J12,0,1)),"")</f>
        <v/>
      </c>
      <c r="R14" t="str">
        <f>IF(AND(ISNUMBER(I14),ISNUMBER(J13)),IF(I14&gt;J13,3,IF(I14&lt;J13,0,1)),"")</f>
        <v/>
      </c>
      <c r="S14" s="5"/>
      <c r="T14" t="str">
        <f>IF(AND(ISNUMBER(K14),ISNUMBER(J15)),IF(K14&gt;J15,3,IF(K14&lt;J15,0,1)),"")</f>
        <v/>
      </c>
      <c r="U14" t="str">
        <f>IF(AND(ISNUMBER(L14),ISNUMBER(J16)),IF(L14&gt;J16,3,IF(L14&lt;J16,0,1)),"")</f>
        <v/>
      </c>
      <c r="V14" t="str">
        <f>IF(AND(ISNUMBER(M14),ISNUMBER(J17)),IF(M14&gt;J17,3,IF(M14&lt;J17,0,1)),"")</f>
        <v/>
      </c>
      <c r="W14" t="str">
        <f>IF(AND(ISNUMBER(N14),ISNUMBER(J18)),IF(N14&gt;J18,3,IF(N14&lt;J18,0,1)),"")</f>
        <v/>
      </c>
    </row>
    <row r="15" spans="1:34" ht="15" customHeight="1" x14ac:dyDescent="0.25">
      <c r="A15" t="str">
        <f t="shared" si="0"/>
        <v>Dresdner EinradtigerTV Lilienthal Moorteufel</v>
      </c>
      <c r="B15" t="str">
        <f>Tippspiel!F28</f>
        <v>Dresdner Einradtiger</v>
      </c>
      <c r="C15" t="str">
        <f>Tippspiel!K28</f>
        <v>TV Lilienthal Moorteufel</v>
      </c>
      <c r="D15" t="str">
        <f>IF(ISNUMBER(Tippspiel!M28),Tippspiel!M28,"")</f>
        <v/>
      </c>
      <c r="E15" t="str">
        <f>IF(ISNUMBER(Tippspiel!O28),Tippspiel!O28,"")</f>
        <v/>
      </c>
      <c r="G15" t="s">
        <v>6</v>
      </c>
      <c r="H15" t="str">
        <f t="shared" si="7"/>
        <v/>
      </c>
      <c r="I15" t="str">
        <f t="shared" si="7"/>
        <v/>
      </c>
      <c r="J15" t="str">
        <f t="shared" si="7"/>
        <v/>
      </c>
      <c r="K15" s="5"/>
      <c r="L15" t="str">
        <f t="shared" si="6"/>
        <v/>
      </c>
      <c r="M15" t="str">
        <f t="shared" si="6"/>
        <v/>
      </c>
      <c r="N15" t="str">
        <f t="shared" si="6"/>
        <v/>
      </c>
      <c r="P15" t="s">
        <v>6</v>
      </c>
      <c r="Q15" t="str">
        <f>IF(AND(ISNUMBER(H15),ISNUMBER(K12)),IF(H15&gt;K12,3,IF(H15&lt;K12,0,1)),"")</f>
        <v/>
      </c>
      <c r="R15" t="str">
        <f>IF(AND(ISNUMBER(I15),ISNUMBER(K13)),IF(I15&gt;K13,3,IF(I15&lt;K13,0,1)),"")</f>
        <v/>
      </c>
      <c r="S15" t="str">
        <f>IF(AND(ISNUMBER(J15),ISNUMBER(K14)),IF(J15&gt;K14,3,IF(J15&lt;K14,0,1)),"")</f>
        <v/>
      </c>
      <c r="T15" s="5"/>
      <c r="U15" t="str">
        <f>IF(AND(ISNUMBER(L15),ISNUMBER(K16)),IF(L15&gt;K16,3,IF(L15&lt;K16,0,1)),"")</f>
        <v/>
      </c>
      <c r="V15" t="str">
        <f>IF(AND(ISNUMBER(M15),ISNUMBER(K17)),IF(M15&gt;K17,3,IF(M15&lt;K17,0,1)),"")</f>
        <v/>
      </c>
      <c r="W15" t="str">
        <f>IF(AND(ISNUMBER(N15),ISNUMBER(K18)),IF(N15&gt;K18,3,IF(N15&lt;K18,0,1)),"")</f>
        <v/>
      </c>
    </row>
    <row r="16" spans="1:34" x14ac:dyDescent="0.25">
      <c r="A16" t="str">
        <f t="shared" si="0"/>
        <v>SKV Mörfelden TitansBlack Stars</v>
      </c>
      <c r="B16" t="str">
        <f>Tippspiel!F29</f>
        <v>SKV Mörfelden Titans</v>
      </c>
      <c r="C16" t="str">
        <f>Tippspiel!K29</f>
        <v>Black Stars</v>
      </c>
      <c r="D16" t="str">
        <f>IF(ISNUMBER(Tippspiel!M29),Tippspiel!M29,"")</f>
        <v/>
      </c>
      <c r="E16" t="str">
        <f>IF(ISNUMBER(Tippspiel!O29),Tippspiel!O29,"")</f>
        <v/>
      </c>
      <c r="G16" t="s">
        <v>7</v>
      </c>
      <c r="H16" t="str">
        <f t="shared" si="7"/>
        <v/>
      </c>
      <c r="I16" t="str">
        <f t="shared" si="7"/>
        <v/>
      </c>
      <c r="J16" t="str">
        <f t="shared" si="7"/>
        <v/>
      </c>
      <c r="K16" t="str">
        <f t="shared" si="7"/>
        <v/>
      </c>
      <c r="L16" s="5"/>
      <c r="M16" t="str">
        <f t="shared" si="6"/>
        <v/>
      </c>
      <c r="N16" t="str">
        <f t="shared" si="6"/>
        <v/>
      </c>
      <c r="P16" t="s">
        <v>7</v>
      </c>
      <c r="Q16" t="str">
        <f>IF(AND(ISNUMBER(H16),ISNUMBER(L12)),IF(H16&gt;L12,3,IF(H16&lt;L12,0,1)),"")</f>
        <v/>
      </c>
      <c r="R16" t="str">
        <f>IF(AND(ISNUMBER(I16),ISNUMBER(L13)),IF(I16&gt;L13,3,IF(I16&lt;L13,0,1)),"")</f>
        <v/>
      </c>
      <c r="S16" t="str">
        <f>IF(AND(ISNUMBER(J16),ISNUMBER(L14)),IF(J16&gt;L14,3,IF(J16&lt;L14,0,1)),"")</f>
        <v/>
      </c>
      <c r="T16" t="str">
        <f>IF(AND(ISNUMBER(K16),ISNUMBER(L15)),IF(K16&gt;L15,3,IF(K16&lt;L15,0,1)),"")</f>
        <v/>
      </c>
      <c r="U16" s="5"/>
      <c r="V16" t="str">
        <f>IF(AND(ISNUMBER(M16),ISNUMBER(L17)),IF(M16&gt;L17,3,IF(M16&lt;L17,0,1)),"")</f>
        <v/>
      </c>
      <c r="W16" t="str">
        <f>IF(AND(ISNUMBER(N16),ISNUMBER(L18)),IF(N16&gt;L18,3,IF(N16&lt;L18,0,1)),"")</f>
        <v/>
      </c>
    </row>
    <row r="17" spans="1:34" x14ac:dyDescent="0.25">
      <c r="A17" t="str">
        <f t="shared" si="0"/>
        <v>SKV Mörfelden PhönixBTC Baukau Boogaloos</v>
      </c>
      <c r="B17" t="str">
        <f>Tippspiel!F30</f>
        <v>SKV Mörfelden Phönix</v>
      </c>
      <c r="C17" t="str">
        <f>Tippspiel!K30</f>
        <v>BTC Baukau Boogaloos</v>
      </c>
      <c r="D17" t="str">
        <f>IF(ISNUMBER(Tippspiel!M30),Tippspiel!M30,"")</f>
        <v/>
      </c>
      <c r="E17" t="str">
        <f>IF(ISNUMBER(Tippspiel!O30),Tippspiel!O30,"")</f>
        <v/>
      </c>
      <c r="G17" t="s">
        <v>8</v>
      </c>
      <c r="H17" t="str">
        <f t="shared" si="7"/>
        <v/>
      </c>
      <c r="I17" t="str">
        <f t="shared" si="7"/>
        <v/>
      </c>
      <c r="J17" t="str">
        <f t="shared" si="7"/>
        <v/>
      </c>
      <c r="K17" t="str">
        <f t="shared" si="7"/>
        <v/>
      </c>
      <c r="L17" t="str">
        <f t="shared" si="7"/>
        <v/>
      </c>
      <c r="M17" s="5"/>
      <c r="N17" t="str">
        <f>VLOOKUP($G17&amp;N$4,$A$4:$E$24,4,FALSE)</f>
        <v/>
      </c>
      <c r="P17" t="s">
        <v>8</v>
      </c>
      <c r="Q17" t="str">
        <f>IF(AND(ISNUMBER(H17),ISNUMBER(M12)),IF(H17&gt;M12,3,IF(H17&lt;M12,0,1)),"")</f>
        <v/>
      </c>
      <c r="R17" t="str">
        <f>IF(AND(ISNUMBER(I17),ISNUMBER(M13)),IF(I17&gt;M13,3,IF(I17&lt;M13,0,1)),"")</f>
        <v/>
      </c>
      <c r="S17" t="str">
        <f>IF(AND(ISNUMBER(J17),ISNUMBER(M14)),IF(J17&gt;M14,3,IF(J17&lt;M14,0,1)),"")</f>
        <v/>
      </c>
      <c r="T17" t="str">
        <f>IF(AND(ISNUMBER(K17),ISNUMBER(M15)),IF(K17&gt;M15,3,IF(K17&lt;M15,0,1)),"")</f>
        <v/>
      </c>
      <c r="U17" t="str">
        <f>IF(AND(ISNUMBER(L17),ISNUMBER(M16)),IF(L17&gt;M16,3,IF(L17&lt;M16,0,1)),"")</f>
        <v/>
      </c>
      <c r="V17" s="5"/>
      <c r="W17" t="str">
        <f>IF(AND(ISNUMBER(N17),ISNUMBER(M18)),IF(N17&gt;M18,3,IF(N17&lt;M18,0,1)),"")</f>
        <v/>
      </c>
    </row>
    <row r="18" spans="1:34" ht="15" customHeight="1" x14ac:dyDescent="0.25">
      <c r="A18" t="str">
        <f t="shared" si="0"/>
        <v>TV Lilienthal MoorteufelEinradfüchse</v>
      </c>
      <c r="B18" t="str">
        <f>Tippspiel!F31</f>
        <v>TV Lilienthal Moorteufel</v>
      </c>
      <c r="C18" t="str">
        <f>Tippspiel!K31</f>
        <v>Einradfüchse</v>
      </c>
      <c r="D18" t="str">
        <f>IF(ISNUMBER(Tippspiel!M31),Tippspiel!M31,"")</f>
        <v/>
      </c>
      <c r="E18" t="str">
        <f>IF(ISNUMBER(Tippspiel!O31),Tippspiel!O31,"")</f>
        <v/>
      </c>
      <c r="G18" t="s">
        <v>9</v>
      </c>
      <c r="H18" t="str">
        <f t="shared" si="7"/>
        <v/>
      </c>
      <c r="I18" t="str">
        <f t="shared" si="7"/>
        <v/>
      </c>
      <c r="J18" t="str">
        <f t="shared" si="7"/>
        <v/>
      </c>
      <c r="K18" t="str">
        <f t="shared" si="7"/>
        <v/>
      </c>
      <c r="L18" t="str">
        <f t="shared" si="7"/>
        <v/>
      </c>
      <c r="M18" t="str">
        <f>VLOOKUP(M$4&amp;$G18,$A$4:$E$24,5,FALSE)</f>
        <v/>
      </c>
      <c r="N18" s="5"/>
      <c r="P18" t="s">
        <v>9</v>
      </c>
      <c r="Q18" t="str">
        <f>IF(AND(ISNUMBER(H18),ISNUMBER(N12)),IF(H18&gt;N12,3,IF(H18&lt;N12,0,1)),"")</f>
        <v/>
      </c>
      <c r="R18" t="str">
        <f>IF(AND(ISNUMBER(I18),ISNUMBER(N13)),IF(I18&gt;N13,3,IF(I18&lt;N13,0,1)),"")</f>
        <v/>
      </c>
      <c r="S18" t="str">
        <f>IF(AND(ISNUMBER(J18),ISNUMBER(N14)),IF(J18&gt;N14,3,IF(J18&lt;N14,0,1)),"")</f>
        <v/>
      </c>
      <c r="T18" t="str">
        <f>IF(AND(ISNUMBER(K18),ISNUMBER(N14)),IF(K18&gt;N14,3,IF(K18&lt;N14,0,1)),"")</f>
        <v/>
      </c>
      <c r="U18" t="str">
        <f>IF(AND(ISNUMBER(L18),ISNUMBER(N16)),IF(L18&gt;N16,3,IF(L18&lt;N16,0,1)),"")</f>
        <v/>
      </c>
      <c r="V18" t="str">
        <f>IF(AND(ISNUMBER(M18),ISNUMBER(N17)),IF(M18&gt;N17,3,IF(M18&lt;N17,0,1)),"")</f>
        <v/>
      </c>
      <c r="W18" s="5"/>
    </row>
    <row r="19" spans="1:34" x14ac:dyDescent="0.25">
      <c r="A19" t="str">
        <f t="shared" si="0"/>
        <v>Dresdner EinradtigerBlack Stars</v>
      </c>
      <c r="B19" t="str">
        <f>Tippspiel!F32</f>
        <v>Dresdner Einradtiger</v>
      </c>
      <c r="C19" t="str">
        <f>Tippspiel!K32</f>
        <v>Black Stars</v>
      </c>
      <c r="D19" t="str">
        <f>IF(ISNUMBER(Tippspiel!M32),Tippspiel!M32,"")</f>
        <v/>
      </c>
      <c r="E19" t="str">
        <f>IF(ISNUMBER(Tippspiel!O32),Tippspiel!O32,"")</f>
        <v/>
      </c>
    </row>
    <row r="20" spans="1:34" x14ac:dyDescent="0.25">
      <c r="A20" t="str">
        <f t="shared" si="0"/>
        <v>SKV Mörfelden TitansBTC Baukau Boogaloos</v>
      </c>
      <c r="B20" t="str">
        <f>Tippspiel!F33</f>
        <v>SKV Mörfelden Titans</v>
      </c>
      <c r="C20" t="str">
        <f>Tippspiel!K33</f>
        <v>BTC Baukau Boogaloos</v>
      </c>
      <c r="D20" t="str">
        <f>IF(ISNUMBER(Tippspiel!M33),Tippspiel!M33,"")</f>
        <v/>
      </c>
      <c r="E20" t="str">
        <f>IF(ISNUMBER(Tippspiel!O33),Tippspiel!O33,"")</f>
        <v/>
      </c>
    </row>
    <row r="21" spans="1:34" ht="15" customHeight="1" x14ac:dyDescent="0.25">
      <c r="A21" t="str">
        <f t="shared" si="0"/>
        <v>SKV Mörfelden PhönixEinradfüchse</v>
      </c>
      <c r="B21" t="str">
        <f>Tippspiel!F34</f>
        <v>SKV Mörfelden Phönix</v>
      </c>
      <c r="C21" t="str">
        <f>Tippspiel!K34</f>
        <v>Einradfüchse</v>
      </c>
      <c r="D21" t="str">
        <f>IF(ISNUMBER(Tippspiel!M34),Tippspiel!M34,"")</f>
        <v/>
      </c>
      <c r="E21" t="str">
        <f>IF(ISNUMBER(Tippspiel!O34),Tippspiel!O34,"")</f>
        <v/>
      </c>
    </row>
    <row r="22" spans="1:34" x14ac:dyDescent="0.25">
      <c r="A22" t="str">
        <f t="shared" si="0"/>
        <v>Black StarsTV Lilienthal Moorteufel</v>
      </c>
      <c r="B22" t="str">
        <f>Tippspiel!F43</f>
        <v>Black Stars</v>
      </c>
      <c r="C22" t="str">
        <f>Tippspiel!K43</f>
        <v>TV Lilienthal Moorteufel</v>
      </c>
      <c r="D22" t="str">
        <f>IF(ISNUMBER(Tippspiel!M43),Tippspiel!M43,"")</f>
        <v/>
      </c>
      <c r="E22" t="str">
        <f>IF(ISNUMBER(Tippspiel!O43),Tippspiel!O43,"")</f>
        <v/>
      </c>
    </row>
    <row r="23" spans="1:34" x14ac:dyDescent="0.25">
      <c r="A23" t="str">
        <f t="shared" si="0"/>
        <v>BTC Baukau BoogaloosDresdner Einradtiger</v>
      </c>
      <c r="B23" t="str">
        <f>Tippspiel!F44</f>
        <v>BTC Baukau Boogaloos</v>
      </c>
      <c r="C23" t="str">
        <f>Tippspiel!K44</f>
        <v>Dresdner Einradtiger</v>
      </c>
      <c r="D23" t="str">
        <f>IF(ISNUMBER(Tippspiel!M44),Tippspiel!M44,"")</f>
        <v/>
      </c>
      <c r="E23" t="str">
        <f>IF(ISNUMBER(Tippspiel!O44),Tippspiel!O44,"")</f>
        <v/>
      </c>
    </row>
    <row r="24" spans="1:34" x14ac:dyDescent="0.25">
      <c r="A24" t="str">
        <f t="shared" si="0"/>
        <v>SKV Mörfelden PhönixSKV Mörfelden Titans</v>
      </c>
      <c r="B24" t="str">
        <f>Tippspiel!F45</f>
        <v>SKV Mörfelden Phönix</v>
      </c>
      <c r="C24" t="str">
        <f>Tippspiel!K45</f>
        <v>SKV Mörfelden Titans</v>
      </c>
      <c r="D24" t="str">
        <f>IF(ISNUMBER(Tippspiel!M45),Tippspiel!M45,"")</f>
        <v/>
      </c>
      <c r="E24" t="str">
        <f>IF(ISNUMBER(Tippspiel!O45),Tippspiel!O45,"")</f>
        <v/>
      </c>
    </row>
    <row r="27" spans="1:34" x14ac:dyDescent="0.25">
      <c r="A27" s="171" t="s">
        <v>56</v>
      </c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171"/>
    </row>
    <row r="29" spans="1:34" x14ac:dyDescent="0.25">
      <c r="A29" t="str">
        <f>B29&amp;C29</f>
        <v>Platz 6 der VorrundePlatz 7 der Vorrunde</v>
      </c>
      <c r="B29" t="str">
        <f>Tippspiel!$F$63</f>
        <v>Platz 6 der Vorrunde</v>
      </c>
      <c r="C29" t="str">
        <f>Tippspiel!$K$63</f>
        <v>Platz 7 der Vorrunde</v>
      </c>
      <c r="D29" t="str">
        <f>IF(ISNUMBER(Tippspiel!M63),Tippspiel!M63,"")</f>
        <v/>
      </c>
      <c r="E29" t="str">
        <f>IF(ISNUMBER(Tippspiel!O63),Tippspiel!O63,"")</f>
        <v/>
      </c>
      <c r="G29" s="172" t="s">
        <v>47</v>
      </c>
      <c r="H29" s="173" t="str">
        <f>G37</f>
        <v>Black Stars</v>
      </c>
      <c r="I29" s="173" t="str">
        <f>G38</f>
        <v>TV Lilienthal Moorteufel</v>
      </c>
      <c r="J29" s="173" t="str">
        <f>G39</f>
        <v>Einradfüchse</v>
      </c>
      <c r="P29" s="172" t="s">
        <v>46</v>
      </c>
      <c r="Q29" s="173" t="str">
        <f>P37</f>
        <v>Black Stars</v>
      </c>
      <c r="R29" s="173" t="str">
        <f>P38</f>
        <v>TV Lilienthal Moorteufel</v>
      </c>
      <c r="S29" s="173" t="str">
        <f>P39</f>
        <v>Einradfüchse</v>
      </c>
      <c r="AA29" s="4" t="s">
        <v>53</v>
      </c>
      <c r="AB29" s="4" t="s">
        <v>45</v>
      </c>
      <c r="AC29" s="4" t="s">
        <v>46</v>
      </c>
      <c r="AD29" s="4" t="s">
        <v>47</v>
      </c>
      <c r="AE29" s="4" t="s">
        <v>48</v>
      </c>
      <c r="AF29" s="4" t="s">
        <v>51</v>
      </c>
      <c r="AG29" s="4" t="s">
        <v>52</v>
      </c>
    </row>
    <row r="30" spans="1:34" x14ac:dyDescent="0.25">
      <c r="A30" t="str">
        <f t="shared" ref="A30:A31" si="8">B30&amp;C30</f>
        <v>Platz 5 der VorrundePlatz 7 der Vorrunde</v>
      </c>
      <c r="B30" t="str">
        <f>Tippspiel!$F$65</f>
        <v>Platz 5 der Vorrunde</v>
      </c>
      <c r="C30" t="str">
        <f>Tippspiel!$K$65</f>
        <v>Platz 7 der Vorrunde</v>
      </c>
      <c r="D30" t="str">
        <f>IF(ISNUMBER(Tippspiel!M65),Tippspiel!M65,"")</f>
        <v/>
      </c>
      <c r="E30" t="str">
        <f>IF(ISNUMBER(Tippspiel!O65),Tippspiel!O65,"")</f>
        <v/>
      </c>
      <c r="G30" s="172"/>
      <c r="H30" s="173"/>
      <c r="I30" s="173"/>
      <c r="J30" s="173"/>
      <c r="P30" s="172"/>
      <c r="Q30" s="173"/>
      <c r="R30" s="173"/>
      <c r="S30" s="173"/>
      <c r="Y30" t="e">
        <f>RANK(Z30,$Z$30:$Z$32)</f>
        <v>#N/A</v>
      </c>
      <c r="Z30" t="e">
        <f>10000*AC30+100*AD30+AG30</f>
        <v>#N/A</v>
      </c>
      <c r="AA30" t="str">
        <f>G37</f>
        <v>Black Stars</v>
      </c>
      <c r="AB30">
        <f>IF(COUNT($H37:$J37)=COUNT(H37:H39),COUNT($H37:$J37),"")</f>
        <v>0</v>
      </c>
      <c r="AC30">
        <f>SUM(Q37:S37)</f>
        <v>0</v>
      </c>
      <c r="AD30" t="e">
        <f>SUM(H37:J37)</f>
        <v>#N/A</v>
      </c>
      <c r="AE30" t="e">
        <f>SUM(H37:H39)</f>
        <v>#N/A</v>
      </c>
      <c r="AF30" t="e">
        <f>AD30-AE30</f>
        <v>#N/A</v>
      </c>
      <c r="AG30">
        <v>0.3</v>
      </c>
    </row>
    <row r="31" spans="1:34" x14ac:dyDescent="0.25">
      <c r="A31" t="str">
        <f t="shared" si="8"/>
        <v>Platz 5 der VorrundePlatz 6 der Vorrunde</v>
      </c>
      <c r="B31" t="str">
        <f>Tippspiel!$F$67</f>
        <v>Platz 5 der Vorrunde</v>
      </c>
      <c r="C31" t="str">
        <f>Tippspiel!$K$67</f>
        <v>Platz 6 der Vorrunde</v>
      </c>
      <c r="D31" t="str">
        <f>IF(ISNUMBER(Tippspiel!M67),Tippspiel!M67,"")</f>
        <v/>
      </c>
      <c r="E31" t="str">
        <f>IF(ISNUMBER(Tippspiel!O67),Tippspiel!O67,"")</f>
        <v/>
      </c>
      <c r="G31" s="172"/>
      <c r="H31" s="173"/>
      <c r="I31" s="173"/>
      <c r="J31" s="173"/>
      <c r="P31" s="172"/>
      <c r="Q31" s="173"/>
      <c r="R31" s="173"/>
      <c r="S31" s="173"/>
      <c r="Y31" t="e">
        <f t="shared" ref="Y31:Y32" si="9">RANK(Z31,$Z$30:$Z$32)</f>
        <v>#N/A</v>
      </c>
      <c r="Z31" t="e">
        <f>10000*AC31+100*AD31+AG31</f>
        <v>#N/A</v>
      </c>
      <c r="AA31" t="str">
        <f>G38</f>
        <v>TV Lilienthal Moorteufel</v>
      </c>
      <c r="AB31">
        <f>IF(COUNT($H38:$J38)=COUNT(I37:I39),COUNT($H38:$J38),"")</f>
        <v>0</v>
      </c>
      <c r="AC31">
        <f>SUM(Q38:S38)</f>
        <v>0</v>
      </c>
      <c r="AD31" t="e">
        <f>SUM(H38:J38)</f>
        <v>#N/A</v>
      </c>
      <c r="AE31" t="e">
        <f>SUM(I37:I39)</f>
        <v>#N/A</v>
      </c>
      <c r="AF31" t="e">
        <f t="shared" ref="AF31:AF32" si="10">AD31-AE31</f>
        <v>#N/A</v>
      </c>
      <c r="AG31">
        <v>0.2</v>
      </c>
    </row>
    <row r="32" spans="1:34" x14ac:dyDescent="0.25">
      <c r="G32" s="172"/>
      <c r="H32" s="173"/>
      <c r="I32" s="173"/>
      <c r="J32" s="173"/>
      <c r="P32" s="172"/>
      <c r="Q32" s="173"/>
      <c r="R32" s="173"/>
      <c r="S32" s="173"/>
      <c r="Y32" t="e">
        <f t="shared" si="9"/>
        <v>#N/A</v>
      </c>
      <c r="Z32" t="e">
        <f>10000*AC32+100*AD32+AG32</f>
        <v>#N/A</v>
      </c>
      <c r="AA32" t="str">
        <f>G39</f>
        <v>Einradfüchse</v>
      </c>
      <c r="AB32">
        <f>IF(COUNT($H39:$J39)=COUNT(J37:J39),COUNT($H39:$J39),"")</f>
        <v>0</v>
      </c>
      <c r="AC32">
        <f>SUM(Q39:S39)</f>
        <v>0</v>
      </c>
      <c r="AD32" t="e">
        <f>SUM(H39:J39)</f>
        <v>#N/A</v>
      </c>
      <c r="AE32" t="e">
        <f>SUM(J37:J39)</f>
        <v>#N/A</v>
      </c>
      <c r="AF32" t="e">
        <f t="shared" si="10"/>
        <v>#N/A</v>
      </c>
      <c r="AG32">
        <v>0.1</v>
      </c>
    </row>
    <row r="33" spans="1:34" x14ac:dyDescent="0.25">
      <c r="G33" s="172"/>
      <c r="H33" s="173"/>
      <c r="I33" s="173"/>
      <c r="J33" s="173"/>
      <c r="P33" s="172"/>
      <c r="Q33" s="173"/>
      <c r="R33" s="173"/>
      <c r="S33" s="173"/>
      <c r="AA33" t="b">
        <f>AND(AB33,AC33)</f>
        <v>0</v>
      </c>
      <c r="AB33" t="b">
        <f>SUM(AB30:AB32)=COUNT(AB30:AB32)*(COUNTA(AA30:AA32)-1)</f>
        <v>0</v>
      </c>
      <c r="AC33" t="b" cm="1">
        <f t="array" ref="AC33">OR(COUNTIF(AC30:AC32,AC30:AC32)&gt;1)</f>
        <v>1</v>
      </c>
    </row>
    <row r="34" spans="1:34" x14ac:dyDescent="0.25">
      <c r="G34" s="172"/>
      <c r="H34" s="173"/>
      <c r="I34" s="173"/>
      <c r="J34" s="173"/>
      <c r="P34" s="172"/>
      <c r="Q34" s="173"/>
      <c r="R34" s="173"/>
      <c r="S34" s="173"/>
    </row>
    <row r="35" spans="1:34" x14ac:dyDescent="0.25">
      <c r="G35" s="172"/>
      <c r="H35" s="173"/>
      <c r="I35" s="173"/>
      <c r="J35" s="173"/>
      <c r="P35" s="172"/>
      <c r="Q35" s="173"/>
      <c r="R35" s="173"/>
      <c r="S35" s="173"/>
    </row>
    <row r="36" spans="1:34" x14ac:dyDescent="0.25">
      <c r="G36" s="172"/>
      <c r="H36" s="173"/>
      <c r="I36" s="173"/>
      <c r="J36" s="173"/>
      <c r="P36" s="172"/>
      <c r="Q36" s="173"/>
      <c r="R36" s="173"/>
      <c r="S36" s="173"/>
    </row>
    <row r="37" spans="1:34" x14ac:dyDescent="0.25">
      <c r="G37" t="str">
        <f>Tippspiel!C53</f>
        <v>Black Stars</v>
      </c>
      <c r="H37" s="5"/>
      <c r="I37" t="e">
        <f>VLOOKUP($G37&amp;I$29,$A$29:$E$31,4,FALSE)</f>
        <v>#N/A</v>
      </c>
      <c r="J37" t="e">
        <f t="shared" ref="J37" si="11">VLOOKUP($G37&amp;J$29,$A$29:$E$31,4,FALSE)</f>
        <v>#N/A</v>
      </c>
      <c r="P37" t="str">
        <f>G37</f>
        <v>Black Stars</v>
      </c>
      <c r="Q37" s="5"/>
      <c r="R37" t="str">
        <f>IF(AND(ISNUMBER(I37),ISNUMBER(H38)),IF(I37&gt;H38,3,IF(I37&lt;H38,0,1)),"")</f>
        <v/>
      </c>
      <c r="S37" t="str">
        <f>IF(AND(ISNUMBER(J37),ISNUMBER(H39)),IF(J37&gt;H39,3,IF(J37&lt;H39,0,1)),"")</f>
        <v/>
      </c>
    </row>
    <row r="38" spans="1:34" x14ac:dyDescent="0.25">
      <c r="G38" t="str">
        <f>Tippspiel!C54</f>
        <v>TV Lilienthal Moorteufel</v>
      </c>
      <c r="H38" t="e">
        <f>VLOOKUP(H$29&amp;$G38,$A$29:$E$31,5,FALSE)</f>
        <v>#N/A</v>
      </c>
      <c r="I38" s="5"/>
      <c r="J38" t="e">
        <f>VLOOKUP($G38&amp;J$29,$A$29:$E$31,4,FALSE)</f>
        <v>#N/A</v>
      </c>
      <c r="P38" t="str">
        <f>G38</f>
        <v>TV Lilienthal Moorteufel</v>
      </c>
      <c r="Q38" t="str">
        <f>IF(AND(ISNUMBER(H38),ISNUMBER(I37)),IF(H38&gt;I37,3,IF(H38&lt;I37,0,1)),"")</f>
        <v/>
      </c>
      <c r="R38" s="5"/>
      <c r="S38" t="str">
        <f>IF(AND(ISNUMBER(J38),ISNUMBER(I39)),IF(J38&gt;I39,3,IF(J38&lt;I39,0,1)),"")</f>
        <v/>
      </c>
    </row>
    <row r="39" spans="1:34" x14ac:dyDescent="0.25">
      <c r="G39" t="str">
        <f>Tippspiel!C55</f>
        <v>Einradfüchse</v>
      </c>
      <c r="H39" t="e">
        <f>VLOOKUP(H$29&amp;$G39,$A$29:$E$31,5,FALSE)</f>
        <v>#N/A</v>
      </c>
      <c r="I39" t="e">
        <f>VLOOKUP(I$29&amp;$G39,$A$29:$E$31,5,FALSE)</f>
        <v>#N/A</v>
      </c>
      <c r="J39" s="5"/>
      <c r="P39" t="str">
        <f>G39</f>
        <v>Einradfüchse</v>
      </c>
      <c r="Q39" t="str">
        <f>IF(AND(ISNUMBER(H39),ISNUMBER(J37)),IF(H39&gt;J37,3,IF(H39&lt;J37,0,1)),"")</f>
        <v/>
      </c>
      <c r="R39" t="str">
        <f>IF(AND(ISNUMBER(I39),ISNUMBER(J38)),IF(I39&gt;J38,3,IF(I39&lt;J38,0,1)),"")</f>
        <v/>
      </c>
      <c r="S39" s="5"/>
    </row>
    <row r="42" spans="1:34" x14ac:dyDescent="0.25">
      <c r="A42" s="174" t="s">
        <v>59</v>
      </c>
      <c r="B42" s="174"/>
      <c r="C42" s="174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  <c r="W42" s="174"/>
      <c r="X42" s="174"/>
      <c r="Y42" s="174"/>
      <c r="Z42" s="174"/>
      <c r="AA42" s="174"/>
      <c r="AB42" s="174"/>
      <c r="AC42" s="174"/>
      <c r="AD42" s="174"/>
      <c r="AE42" s="174"/>
      <c r="AF42" s="174"/>
      <c r="AG42" s="174"/>
      <c r="AH42" s="174"/>
    </row>
    <row r="43" spans="1:34" x14ac:dyDescent="0.25">
      <c r="A43" s="171" t="s">
        <v>60</v>
      </c>
      <c r="B43" s="171"/>
      <c r="C43" s="171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  <c r="AA43" s="171"/>
      <c r="AB43" s="171"/>
      <c r="AC43" s="171"/>
      <c r="AD43" s="171"/>
      <c r="AE43" s="171"/>
      <c r="AF43" s="171"/>
      <c r="AG43" s="171"/>
      <c r="AH43" s="171"/>
    </row>
    <row r="45" spans="1:34" x14ac:dyDescent="0.25">
      <c r="A45" t="s">
        <v>64</v>
      </c>
      <c r="B45" t="str">
        <f>Vergleich!C6</f>
        <v>Vorrunde</v>
      </c>
      <c r="C45" t="str">
        <f>IF(B45="Vorrunde",ADDRESS(ROW($A$4),COLUMN($A$4),1,1)&amp;":"&amp;ADDRESS(ROW($E$24),COLUMN($E$24),1,1),ADDRESS(ROW($A$29),COLUMN($A$29),1,1)&amp;":"&amp;ADDRESS(ROW($E$31),COLUMN($E$31),1,1))</f>
        <v>$A$4:$E$24</v>
      </c>
    </row>
    <row r="47" spans="1:34" x14ac:dyDescent="0.25">
      <c r="A47" t="e">
        <f>RANK(C47,$C$47:$C$48,1)</f>
        <v>#N/A</v>
      </c>
      <c r="B47">
        <f>Vergleich!C7</f>
        <v>0</v>
      </c>
      <c r="C47" t="e">
        <f>MATCH(B47,Tippspiel!$C$7:$C$13,0)</f>
        <v>#N/A</v>
      </c>
      <c r="G47" s="172" t="s">
        <v>47</v>
      </c>
      <c r="H47" s="173" t="e">
        <f>G55</f>
        <v>#N/A</v>
      </c>
      <c r="I47" s="173" t="e">
        <f>G56</f>
        <v>#N/A</v>
      </c>
      <c r="P47" s="172" t="s">
        <v>46</v>
      </c>
      <c r="Q47" s="173" t="e">
        <f>H47</f>
        <v>#N/A</v>
      </c>
      <c r="R47" s="173" t="e">
        <f>I47</f>
        <v>#N/A</v>
      </c>
      <c r="AA47" s="4" t="s">
        <v>53</v>
      </c>
      <c r="AB47" s="4" t="s">
        <v>45</v>
      </c>
      <c r="AC47" s="4" t="s">
        <v>46</v>
      </c>
      <c r="AD47" s="4" t="s">
        <v>47</v>
      </c>
      <c r="AE47" s="4" t="s">
        <v>48</v>
      </c>
      <c r="AF47" s="4" t="s">
        <v>51</v>
      </c>
      <c r="AG47" s="4" t="s">
        <v>52</v>
      </c>
    </row>
    <row r="48" spans="1:34" x14ac:dyDescent="0.25">
      <c r="A48" t="e">
        <f>RANK(C48,$C$47:$C$48,1)</f>
        <v>#N/A</v>
      </c>
      <c r="B48">
        <f>Vergleich!C8</f>
        <v>0</v>
      </c>
      <c r="C48" t="e">
        <f>MATCH(B48,Tippspiel!$C$7:$C$13,0)</f>
        <v>#N/A</v>
      </c>
      <c r="G48" s="172"/>
      <c r="H48" s="173"/>
      <c r="I48" s="173"/>
      <c r="P48" s="172"/>
      <c r="Q48" s="173"/>
      <c r="R48" s="173"/>
      <c r="Y48" t="e">
        <f>RANK(Z48,$Z$48:$Z$49)</f>
        <v>#N/A</v>
      </c>
      <c r="Z48" t="e">
        <f>10000*AC48+1000*AF48+100*AD48+AG48</f>
        <v>#N/A</v>
      </c>
      <c r="AA48" t="e">
        <f>G55</f>
        <v>#N/A</v>
      </c>
      <c r="AB48">
        <f>IF(COUNT($H55:$I55)=COUNT(H55:H56),COUNT($H55:$I55),"")</f>
        <v>0</v>
      </c>
      <c r="AC48">
        <f>SUM(Q55:R55)</f>
        <v>0</v>
      </c>
      <c r="AD48" t="e">
        <f>SUM(H55:I55)</f>
        <v>#N/A</v>
      </c>
      <c r="AE48" t="e">
        <f>SUM(H55:H56)</f>
        <v>#N/A</v>
      </c>
      <c r="AF48" t="e">
        <f>AD48-AE48</f>
        <v>#N/A</v>
      </c>
      <c r="AG48">
        <v>0.2</v>
      </c>
    </row>
    <row r="49" spans="1:34" x14ac:dyDescent="0.25">
      <c r="G49" s="172"/>
      <c r="H49" s="173"/>
      <c r="I49" s="173"/>
      <c r="P49" s="172"/>
      <c r="Q49" s="173"/>
      <c r="R49" s="173"/>
      <c r="Y49" t="e">
        <f>RANK(Z49,$Z$48:$Z$49)</f>
        <v>#N/A</v>
      </c>
      <c r="Z49" t="e">
        <f>10000*AC49+1000*AF49+100*AD49+AG49</f>
        <v>#N/A</v>
      </c>
      <c r="AA49" t="e">
        <f>G56</f>
        <v>#N/A</v>
      </c>
      <c r="AB49">
        <f>IF(COUNT($H56:$I56)=COUNT(I55:I56),COUNT($H56:$I56),"")</f>
        <v>0</v>
      </c>
      <c r="AC49">
        <f>SUM(Q56:R56)</f>
        <v>0</v>
      </c>
      <c r="AD49" t="e">
        <f>SUM(H56:I56)</f>
        <v>#N/A</v>
      </c>
      <c r="AE49" t="e">
        <f>SUM(I55:I56)</f>
        <v>#N/A</v>
      </c>
      <c r="AF49" t="e">
        <f t="shared" ref="AF49" si="12">AD49-AE49</f>
        <v>#N/A</v>
      </c>
      <c r="AG49">
        <v>0.1</v>
      </c>
    </row>
    <row r="50" spans="1:34" x14ac:dyDescent="0.25">
      <c r="A50">
        <v>1</v>
      </c>
      <c r="B50" t="e">
        <f>VLOOKUP(A50,$A$47:$C$48,2,FALSE)</f>
        <v>#N/A</v>
      </c>
      <c r="G50" s="172"/>
      <c r="H50" s="173"/>
      <c r="I50" s="173"/>
      <c r="P50" s="172"/>
      <c r="Q50" s="173"/>
      <c r="R50" s="173"/>
    </row>
    <row r="51" spans="1:34" x14ac:dyDescent="0.25">
      <c r="A51">
        <v>2</v>
      </c>
      <c r="B51" t="e">
        <f>VLOOKUP(A51,$A$47:$C$48,2,FALSE)</f>
        <v>#N/A</v>
      </c>
      <c r="G51" s="172"/>
      <c r="H51" s="173"/>
      <c r="I51" s="173"/>
      <c r="P51" s="172"/>
      <c r="Q51" s="173"/>
      <c r="R51" s="173"/>
    </row>
    <row r="52" spans="1:34" x14ac:dyDescent="0.25">
      <c r="G52" s="172"/>
      <c r="H52" s="173"/>
      <c r="I52" s="173"/>
      <c r="P52" s="172"/>
      <c r="Q52" s="173"/>
      <c r="R52" s="173"/>
    </row>
    <row r="53" spans="1:34" x14ac:dyDescent="0.25">
      <c r="G53" s="172"/>
      <c r="H53" s="173"/>
      <c r="I53" s="173"/>
      <c r="P53" s="172"/>
      <c r="Q53" s="173"/>
      <c r="R53" s="173"/>
    </row>
    <row r="54" spans="1:34" x14ac:dyDescent="0.25">
      <c r="G54" s="172"/>
      <c r="H54" s="173"/>
      <c r="I54" s="173"/>
      <c r="P54" s="172"/>
      <c r="Q54" s="173"/>
      <c r="R54" s="173"/>
    </row>
    <row r="55" spans="1:34" x14ac:dyDescent="0.25">
      <c r="G55" t="e">
        <f>B50</f>
        <v>#N/A</v>
      </c>
      <c r="H55" s="5"/>
      <c r="I55" t="e">
        <f>VLOOKUP($G55&amp;I$47,$A$4:$E$24,4,FALSE)</f>
        <v>#N/A</v>
      </c>
      <c r="P55" t="e">
        <f>G55</f>
        <v>#N/A</v>
      </c>
      <c r="Q55" s="5"/>
      <c r="R55" t="str">
        <f>IF(AND(ISNUMBER(I55),ISNUMBER(H56)),IF(I55&gt;H56,3,IF(I55&lt;H56,0,1)),"")</f>
        <v/>
      </c>
    </row>
    <row r="56" spans="1:34" x14ac:dyDescent="0.25">
      <c r="G56" t="e">
        <f>B51</f>
        <v>#N/A</v>
      </c>
      <c r="H56" t="e">
        <f>VLOOKUP(H$47&amp;$G56,$A$4:$E$24,5,FALSE)</f>
        <v>#N/A</v>
      </c>
      <c r="I56" s="5"/>
      <c r="P56" t="e">
        <f>G56</f>
        <v>#N/A</v>
      </c>
      <c r="Q56" t="str">
        <f>IF(AND(ISNUMBER(H56),ISNUMBER(I55)),IF(H56&gt;I55,3,IF(H56&lt;I55,0,1)),"")</f>
        <v/>
      </c>
      <c r="R56" s="5"/>
    </row>
    <row r="60" spans="1:34" x14ac:dyDescent="0.25">
      <c r="A60" s="171" t="s">
        <v>67</v>
      </c>
      <c r="B60" s="171"/>
      <c r="C60" s="171"/>
      <c r="D60" s="171"/>
      <c r="E60" s="171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  <c r="AA60" s="171"/>
      <c r="AB60" s="171"/>
      <c r="AC60" s="171"/>
      <c r="AD60" s="171"/>
      <c r="AE60" s="171"/>
      <c r="AF60" s="171"/>
      <c r="AG60" s="171"/>
      <c r="AH60" s="171"/>
    </row>
    <row r="62" spans="1:34" x14ac:dyDescent="0.25">
      <c r="A62" t="s">
        <v>64</v>
      </c>
      <c r="B62" t="str">
        <f>Vergleich!C17</f>
        <v>Vorrunde</v>
      </c>
      <c r="C62" t="str">
        <f>IF(B62="Vorrunde",ADDRESS(ROW($A$4),COLUMN($A$4),1,1)&amp;":"&amp;ADDRESS(ROW($E$24),COLUMN($E$24),1,1),ADDRESS(ROW($A$29),COLUMN($A$29),1,1)&amp;":"&amp;ADDRESS(ROW($E$31),COLUMN($E$31),1,1))</f>
        <v>$A$4:$E$24</v>
      </c>
    </row>
    <row r="64" spans="1:34" ht="15" customHeight="1" x14ac:dyDescent="0.25">
      <c r="A64" t="e">
        <f>RANK(C64,$C$64:$C$66,1)</f>
        <v>#N/A</v>
      </c>
      <c r="B64">
        <f>Vergleich!C18</f>
        <v>0</v>
      </c>
      <c r="C64" t="e">
        <f>MATCH(B64,Tippspiel!$C$7:$C$13,0)</f>
        <v>#N/A</v>
      </c>
      <c r="D64" t="str">
        <f t="shared" ref="D64:E75" ca="1" si="13">IFERROR(VLOOKUP($A64,INDIRECT($C$45),COLUMN(),FALSE),"")</f>
        <v/>
      </c>
      <c r="E64" t="str">
        <f t="shared" ca="1" si="13"/>
        <v/>
      </c>
      <c r="G64" s="172" t="s">
        <v>47</v>
      </c>
      <c r="H64" s="173" t="e">
        <f>G72</f>
        <v>#N/A</v>
      </c>
      <c r="I64" s="173" t="e">
        <f>G73</f>
        <v>#N/A</v>
      </c>
      <c r="J64" s="173" t="e">
        <f>G74</f>
        <v>#N/A</v>
      </c>
      <c r="P64" s="172" t="s">
        <v>46</v>
      </c>
      <c r="Q64" s="173" t="e">
        <f t="shared" ref="Q64:S64" si="14">H64</f>
        <v>#N/A</v>
      </c>
      <c r="R64" s="173" t="e">
        <f t="shared" si="14"/>
        <v>#N/A</v>
      </c>
      <c r="S64" s="173" t="e">
        <f t="shared" si="14"/>
        <v>#N/A</v>
      </c>
      <c r="AA64" s="4" t="s">
        <v>53</v>
      </c>
      <c r="AB64" s="4" t="s">
        <v>45</v>
      </c>
      <c r="AC64" s="4" t="s">
        <v>46</v>
      </c>
      <c r="AD64" s="4" t="s">
        <v>47</v>
      </c>
      <c r="AE64" s="4" t="s">
        <v>48</v>
      </c>
      <c r="AF64" s="4" t="s">
        <v>51</v>
      </c>
      <c r="AG64" s="4" t="s">
        <v>52</v>
      </c>
    </row>
    <row r="65" spans="1:34" x14ac:dyDescent="0.25">
      <c r="A65" t="e">
        <f t="shared" ref="A65:A66" si="15">RANK(C65,$C$64:$C$66,1)</f>
        <v>#N/A</v>
      </c>
      <c r="B65">
        <f>Vergleich!C19</f>
        <v>0</v>
      </c>
      <c r="C65" t="e">
        <f>MATCH(B65,Tippspiel!$C$7:$C$13,0)</f>
        <v>#N/A</v>
      </c>
      <c r="D65" t="str">
        <f t="shared" ca="1" si="13"/>
        <v/>
      </c>
      <c r="E65" t="str">
        <f t="shared" ca="1" si="13"/>
        <v/>
      </c>
      <c r="G65" s="172"/>
      <c r="H65" s="173"/>
      <c r="I65" s="173"/>
      <c r="J65" s="173"/>
      <c r="P65" s="172"/>
      <c r="Q65" s="173"/>
      <c r="R65" s="173"/>
      <c r="S65" s="173"/>
      <c r="Y65" t="e">
        <f>RANK(Z65,$Z$65:$Z$67)</f>
        <v>#N/A</v>
      </c>
      <c r="Z65" t="e">
        <f t="shared" ref="Z65:Z67" si="16">10000*AC65+1000*AF65+100*AD65+AG65</f>
        <v>#N/A</v>
      </c>
      <c r="AA65" t="e">
        <f>G72</f>
        <v>#N/A</v>
      </c>
      <c r="AB65">
        <f>IF(COUNT($H72:$J72)=COUNT(H72:H74),COUNT($H72:$J72),"")</f>
        <v>0</v>
      </c>
      <c r="AC65">
        <f>SUM(Q72:S72)</f>
        <v>0</v>
      </c>
      <c r="AD65" t="e">
        <f>SUM(H72:J72)</f>
        <v>#N/A</v>
      </c>
      <c r="AE65" t="e">
        <f>SUM(H72:H74)</f>
        <v>#N/A</v>
      </c>
      <c r="AF65" t="e">
        <f>AD65-AE65</f>
        <v>#N/A</v>
      </c>
      <c r="AG65">
        <v>0.3</v>
      </c>
    </row>
    <row r="66" spans="1:34" x14ac:dyDescent="0.25">
      <c r="A66" t="e">
        <f t="shared" si="15"/>
        <v>#N/A</v>
      </c>
      <c r="B66">
        <f>Vergleich!C20</f>
        <v>0</v>
      </c>
      <c r="C66" t="e">
        <f>MATCH(B66,Tippspiel!$C$7:$C$13,0)</f>
        <v>#N/A</v>
      </c>
      <c r="D66" t="str">
        <f t="shared" ca="1" si="13"/>
        <v/>
      </c>
      <c r="E66" t="str">
        <f t="shared" ca="1" si="13"/>
        <v/>
      </c>
      <c r="G66" s="172"/>
      <c r="H66" s="173"/>
      <c r="I66" s="173"/>
      <c r="J66" s="173"/>
      <c r="P66" s="172"/>
      <c r="Q66" s="173"/>
      <c r="R66" s="173"/>
      <c r="S66" s="173"/>
      <c r="Y66" t="e">
        <f>RANK(Z66,$Z$65:$Z$67)</f>
        <v>#N/A</v>
      </c>
      <c r="Z66" t="e">
        <f t="shared" si="16"/>
        <v>#N/A</v>
      </c>
      <c r="AA66" t="e">
        <f>G73</f>
        <v>#N/A</v>
      </c>
      <c r="AB66">
        <f>IF(COUNT($H73:$J73)=COUNT(I72:I74),COUNT($H73:$J73),"")</f>
        <v>0</v>
      </c>
      <c r="AC66">
        <f>SUM(Q73:S73)</f>
        <v>0</v>
      </c>
      <c r="AD66" t="e">
        <f>SUM(H73:J73)</f>
        <v>#N/A</v>
      </c>
      <c r="AE66" t="e">
        <f>SUM(I72:I74)</f>
        <v>#N/A</v>
      </c>
      <c r="AF66" t="e">
        <f t="shared" ref="AF66:AF67" si="17">AD66-AE66</f>
        <v>#N/A</v>
      </c>
      <c r="AG66">
        <v>0.2</v>
      </c>
    </row>
    <row r="67" spans="1:34" x14ac:dyDescent="0.25">
      <c r="D67" t="str">
        <f t="shared" ca="1" si="13"/>
        <v/>
      </c>
      <c r="E67" t="str">
        <f t="shared" ca="1" si="13"/>
        <v/>
      </c>
      <c r="G67" s="172"/>
      <c r="H67" s="173"/>
      <c r="I67" s="173"/>
      <c r="J67" s="173"/>
      <c r="P67" s="172"/>
      <c r="Q67" s="173"/>
      <c r="R67" s="173"/>
      <c r="S67" s="173"/>
      <c r="Y67" t="e">
        <f>RANK(Z67,$Z$65:$Z$67)</f>
        <v>#N/A</v>
      </c>
      <c r="Z67" t="e">
        <f t="shared" si="16"/>
        <v>#N/A</v>
      </c>
      <c r="AA67" t="e">
        <f>G74</f>
        <v>#N/A</v>
      </c>
      <c r="AB67">
        <f>IF(COUNT($H74:$J74)=COUNT(J72:J74),COUNT($H74:$J74),"")</f>
        <v>0</v>
      </c>
      <c r="AC67">
        <f>SUM(Q74:S74)</f>
        <v>0</v>
      </c>
      <c r="AD67" t="e">
        <f>SUM(H74:J74)</f>
        <v>#N/A</v>
      </c>
      <c r="AE67" t="e">
        <f>SUM(J72:J74)</f>
        <v>#N/A</v>
      </c>
      <c r="AF67" t="e">
        <f t="shared" si="17"/>
        <v>#N/A</v>
      </c>
      <c r="AG67">
        <v>0.1</v>
      </c>
    </row>
    <row r="68" spans="1:34" x14ac:dyDescent="0.25">
      <c r="A68">
        <v>1</v>
      </c>
      <c r="B68" t="e">
        <f>VLOOKUP(A68,$A$64:$C$66,2,FALSE)</f>
        <v>#N/A</v>
      </c>
      <c r="D68" t="str">
        <f t="shared" ca="1" si="13"/>
        <v/>
      </c>
      <c r="E68" t="str">
        <f t="shared" ca="1" si="13"/>
        <v/>
      </c>
      <c r="G68" s="172"/>
      <c r="H68" s="173"/>
      <c r="I68" s="173"/>
      <c r="J68" s="173"/>
      <c r="P68" s="172"/>
      <c r="Q68" s="173"/>
      <c r="R68" s="173"/>
      <c r="S68" s="173"/>
    </row>
    <row r="69" spans="1:34" x14ac:dyDescent="0.25">
      <c r="A69">
        <v>2</v>
      </c>
      <c r="B69" t="e">
        <f t="shared" ref="B69:B70" si="18">VLOOKUP(A69,$A$64:$C$66,2,FALSE)</f>
        <v>#N/A</v>
      </c>
      <c r="D69" t="str">
        <f t="shared" ca="1" si="13"/>
        <v/>
      </c>
      <c r="E69" t="str">
        <f t="shared" ca="1" si="13"/>
        <v/>
      </c>
      <c r="G69" s="172"/>
      <c r="H69" s="173"/>
      <c r="I69" s="173"/>
      <c r="J69" s="173"/>
      <c r="P69" s="172"/>
      <c r="Q69" s="173"/>
      <c r="R69" s="173"/>
      <c r="S69" s="173"/>
    </row>
    <row r="70" spans="1:34" x14ac:dyDescent="0.25">
      <c r="A70">
        <v>3</v>
      </c>
      <c r="B70" t="e">
        <f t="shared" si="18"/>
        <v>#N/A</v>
      </c>
      <c r="D70" t="str">
        <f t="shared" ca="1" si="13"/>
        <v/>
      </c>
      <c r="E70" t="str">
        <f t="shared" ca="1" si="13"/>
        <v/>
      </c>
      <c r="G70" s="172"/>
      <c r="H70" s="173"/>
      <c r="I70" s="173"/>
      <c r="J70" s="173"/>
      <c r="P70" s="172"/>
      <c r="Q70" s="173"/>
      <c r="R70" s="173"/>
      <c r="S70" s="173"/>
    </row>
    <row r="71" spans="1:34" x14ac:dyDescent="0.25">
      <c r="D71" t="str">
        <f t="shared" ca="1" si="13"/>
        <v/>
      </c>
      <c r="E71" t="str">
        <f t="shared" ca="1" si="13"/>
        <v/>
      </c>
      <c r="G71" s="172"/>
      <c r="H71" s="173"/>
      <c r="I71" s="173"/>
      <c r="J71" s="173"/>
      <c r="P71" s="172"/>
      <c r="Q71" s="173"/>
      <c r="R71" s="173"/>
      <c r="S71" s="173"/>
    </row>
    <row r="72" spans="1:34" x14ac:dyDescent="0.25">
      <c r="D72" t="str">
        <f t="shared" ca="1" si="13"/>
        <v/>
      </c>
      <c r="E72" t="str">
        <f t="shared" ca="1" si="13"/>
        <v/>
      </c>
      <c r="G72" t="e">
        <f t="shared" ref="G72:G74" si="19">B68</f>
        <v>#N/A</v>
      </c>
      <c r="H72" s="5"/>
      <c r="I72" t="e">
        <f>VLOOKUP($G72&amp;I$64,$A$4:$E$24,4,FALSE)</f>
        <v>#N/A</v>
      </c>
      <c r="J72" t="e">
        <f>VLOOKUP($G72&amp;J$64,$A$4:$E$24,4,FALSE)</f>
        <v>#N/A</v>
      </c>
      <c r="P72" t="e">
        <f>G72</f>
        <v>#N/A</v>
      </c>
      <c r="Q72" s="5"/>
      <c r="R72" t="str">
        <f>IF(AND(ISNUMBER(I72),ISNUMBER(H73)),IF(I72&gt;H73,3,IF(I72&lt;H73,0,1)),"")</f>
        <v/>
      </c>
      <c r="S72" t="str">
        <f>IF(AND(ISNUMBER(J72),ISNUMBER(H74)),IF(J72&gt;H74,3,IF(J72&lt;H74,0,1)),"")</f>
        <v/>
      </c>
    </row>
    <row r="73" spans="1:34" x14ac:dyDescent="0.25">
      <c r="D73" t="str">
        <f t="shared" ca="1" si="13"/>
        <v/>
      </c>
      <c r="E73" t="str">
        <f t="shared" ca="1" si="13"/>
        <v/>
      </c>
      <c r="G73" t="e">
        <f t="shared" si="19"/>
        <v>#N/A</v>
      </c>
      <c r="H73" t="e">
        <f>VLOOKUP(H$64&amp;$G73,$A$4:$E$24,5,FALSE)</f>
        <v>#N/A</v>
      </c>
      <c r="I73" s="5"/>
      <c r="J73" t="e">
        <f>VLOOKUP($G73&amp;J$64,$A$4:$E$24,4,FALSE)</f>
        <v>#N/A</v>
      </c>
      <c r="P73" t="e">
        <f>G73</f>
        <v>#N/A</v>
      </c>
      <c r="Q73" t="str">
        <f>IF(AND(ISNUMBER(H73),ISNUMBER(I72)),IF(H73&gt;I72,3,IF(H73&lt;I72,0,1)),"")</f>
        <v/>
      </c>
      <c r="R73" s="5"/>
      <c r="S73" t="str">
        <f>IF(AND(ISNUMBER(J73),ISNUMBER(I74)),IF(J73&gt;I74,3,IF(J73&lt;I74,0,1)),"")</f>
        <v/>
      </c>
    </row>
    <row r="74" spans="1:34" x14ac:dyDescent="0.25">
      <c r="D74" t="str">
        <f t="shared" ca="1" si="13"/>
        <v/>
      </c>
      <c r="E74" t="str">
        <f t="shared" ca="1" si="13"/>
        <v/>
      </c>
      <c r="G74" t="e">
        <f t="shared" si="19"/>
        <v>#N/A</v>
      </c>
      <c r="H74" t="e">
        <f>VLOOKUP(H$64&amp;$G74,$A$4:$E$24,5,FALSE)</f>
        <v>#N/A</v>
      </c>
      <c r="I74" t="e">
        <f>VLOOKUP(I$64&amp;$G74,$A$4:$E$24,5,FALSE)</f>
        <v>#N/A</v>
      </c>
      <c r="J74" s="5"/>
      <c r="P74" t="e">
        <f>G74</f>
        <v>#N/A</v>
      </c>
      <c r="Q74" t="str">
        <f>IF(AND(ISNUMBER(H74),ISNUMBER(J72)),IF(H74&gt;J72,3,IF(H74&lt;J72,0,1)),"")</f>
        <v/>
      </c>
      <c r="R74" t="str">
        <f>IF(AND(ISNUMBER(I74),ISNUMBER(J73)),IF(I74&gt;J73,3,IF(I74&lt;J73,0,1)),"")</f>
        <v/>
      </c>
      <c r="S74" s="5"/>
    </row>
    <row r="75" spans="1:34" x14ac:dyDescent="0.25">
      <c r="D75" t="str">
        <f t="shared" ca="1" si="13"/>
        <v/>
      </c>
      <c r="E75" t="str">
        <f t="shared" ca="1" si="13"/>
        <v/>
      </c>
    </row>
    <row r="78" spans="1:34" x14ac:dyDescent="0.25">
      <c r="A78" s="171" t="s">
        <v>70</v>
      </c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  <c r="AA78" s="171"/>
      <c r="AB78" s="171"/>
      <c r="AC78" s="171"/>
      <c r="AD78" s="171"/>
      <c r="AE78" s="171"/>
      <c r="AF78" s="171"/>
      <c r="AG78" s="171"/>
      <c r="AH78" s="171"/>
    </row>
    <row r="80" spans="1:34" x14ac:dyDescent="0.25">
      <c r="A80" t="s">
        <v>64</v>
      </c>
      <c r="B80" t="str">
        <f>Vergleich!C30</f>
        <v>Vorrunde</v>
      </c>
      <c r="C80" t="str">
        <f>IF(B80="Vorrunde",ADDRESS(ROW($A$4),COLUMN($A$4),1,1)&amp;":"&amp;ADDRESS(ROW($E$24),COLUMN($E$24),1,1),ADDRESS(ROW($A$29),COLUMN($A$29),1,1)&amp;":"&amp;ADDRESS(ROW($E$31),COLUMN($E$31),1,1))</f>
        <v>$A$4:$E$24</v>
      </c>
    </row>
    <row r="82" spans="1:33" x14ac:dyDescent="0.25">
      <c r="A82" t="e">
        <f>RANK(C82,$C$82:$C$85,1)</f>
        <v>#N/A</v>
      </c>
      <c r="B82">
        <f>Vergleich!C31</f>
        <v>0</v>
      </c>
      <c r="C82" t="e">
        <f>MATCH(B82,Tippspiel!$C$7:$C$13,0)</f>
        <v>#N/A</v>
      </c>
      <c r="G82" s="172" t="s">
        <v>47</v>
      </c>
      <c r="H82" s="173" t="e">
        <f>G90</f>
        <v>#N/A</v>
      </c>
      <c r="I82" s="173" t="e">
        <f>G91</f>
        <v>#N/A</v>
      </c>
      <c r="J82" s="173" t="e">
        <f>G92</f>
        <v>#N/A</v>
      </c>
      <c r="K82" s="173" t="e">
        <f>G93</f>
        <v>#N/A</v>
      </c>
      <c r="P82" s="172" t="s">
        <v>46</v>
      </c>
      <c r="Q82" s="173" t="e">
        <f t="shared" ref="Q82:T82" si="20">H82</f>
        <v>#N/A</v>
      </c>
      <c r="R82" s="173" t="e">
        <f t="shared" si="20"/>
        <v>#N/A</v>
      </c>
      <c r="S82" s="173" t="e">
        <f t="shared" si="20"/>
        <v>#N/A</v>
      </c>
      <c r="T82" s="173" t="e">
        <f t="shared" si="20"/>
        <v>#N/A</v>
      </c>
      <c r="AA82" s="4" t="s">
        <v>53</v>
      </c>
      <c r="AB82" s="4" t="s">
        <v>45</v>
      </c>
      <c r="AC82" s="4" t="s">
        <v>46</v>
      </c>
      <c r="AD82" s="4" t="s">
        <v>47</v>
      </c>
      <c r="AE82" s="4" t="s">
        <v>48</v>
      </c>
      <c r="AF82" s="4" t="s">
        <v>51</v>
      </c>
      <c r="AG82" s="4" t="s">
        <v>52</v>
      </c>
    </row>
    <row r="83" spans="1:33" x14ac:dyDescent="0.25">
      <c r="A83" t="e">
        <f>RANK(C83,$C$82:$C$85,1)</f>
        <v>#N/A</v>
      </c>
      <c r="B83">
        <f>Vergleich!C32</f>
        <v>0</v>
      </c>
      <c r="C83" t="e">
        <f>MATCH(B83,Tippspiel!$C$7:$C$13,0)</f>
        <v>#N/A</v>
      </c>
      <c r="G83" s="172"/>
      <c r="H83" s="173"/>
      <c r="I83" s="173"/>
      <c r="J83" s="173"/>
      <c r="K83" s="173"/>
      <c r="P83" s="172"/>
      <c r="Q83" s="173"/>
      <c r="R83" s="173"/>
      <c r="S83" s="173"/>
      <c r="T83" s="173"/>
      <c r="Y83" t="e">
        <f>RANK(Z83,$Z$83:$Z$86)</f>
        <v>#N/A</v>
      </c>
      <c r="Z83" t="e">
        <f t="shared" ref="Z83:Z86" si="21">10000*AC83+1000*AF83+100*AD83+AG83</f>
        <v>#N/A</v>
      </c>
      <c r="AA83" t="e">
        <f>B87</f>
        <v>#N/A</v>
      </c>
      <c r="AB83">
        <f>IF(COUNT($H90:$K90)=COUNT(H90:H93),COUNT($H90:$K90),"")</f>
        <v>0</v>
      </c>
      <c r="AC83">
        <f>SUM(Q90:T90)</f>
        <v>0</v>
      </c>
      <c r="AD83" t="e">
        <f>SUM(H90:K90)</f>
        <v>#N/A</v>
      </c>
      <c r="AE83" t="e">
        <f>SUM(H90:H93)</f>
        <v>#N/A</v>
      </c>
      <c r="AF83" t="e">
        <f t="shared" ref="AF83:AF86" si="22">AD83-AE83</f>
        <v>#N/A</v>
      </c>
      <c r="AG83">
        <v>0.4</v>
      </c>
    </row>
    <row r="84" spans="1:33" x14ac:dyDescent="0.25">
      <c r="A84" t="e">
        <f>RANK(C84,$C$82:$C$85,1)</f>
        <v>#N/A</v>
      </c>
      <c r="B84">
        <f>Vergleich!C33</f>
        <v>0</v>
      </c>
      <c r="C84" t="e">
        <f>MATCH(B84,Tippspiel!$C$7:$C$13,0)</f>
        <v>#N/A</v>
      </c>
      <c r="G84" s="172"/>
      <c r="H84" s="173"/>
      <c r="I84" s="173"/>
      <c r="J84" s="173"/>
      <c r="K84" s="173"/>
      <c r="P84" s="172"/>
      <c r="Q84" s="173"/>
      <c r="R84" s="173"/>
      <c r="S84" s="173"/>
      <c r="T84" s="173"/>
      <c r="Y84" t="e">
        <f>RANK(Z84,$Z$83:$Z$86)</f>
        <v>#N/A</v>
      </c>
      <c r="Z84" t="e">
        <f t="shared" si="21"/>
        <v>#N/A</v>
      </c>
      <c r="AA84" t="e">
        <f t="shared" ref="AA84:AA86" si="23">B88</f>
        <v>#N/A</v>
      </c>
      <c r="AB84">
        <f>IF(COUNT($H91:$K91)=COUNT(I90:I93),COUNT($H91:$K91),"")</f>
        <v>0</v>
      </c>
      <c r="AC84">
        <f t="shared" ref="AC84:AC86" si="24">SUM(Q91:T91)</f>
        <v>0</v>
      </c>
      <c r="AD84" t="e">
        <f>SUM(H91:K91)</f>
        <v>#N/A</v>
      </c>
      <c r="AE84" t="e">
        <f>SUM(I90:I93)</f>
        <v>#N/A</v>
      </c>
      <c r="AF84" t="e">
        <f t="shared" si="22"/>
        <v>#N/A</v>
      </c>
      <c r="AG84">
        <v>0.3</v>
      </c>
    </row>
    <row r="85" spans="1:33" x14ac:dyDescent="0.25">
      <c r="A85" t="e">
        <f>RANK(C85,$C$82:$C$85,1)</f>
        <v>#N/A</v>
      </c>
      <c r="B85">
        <f>Vergleich!C34</f>
        <v>0</v>
      </c>
      <c r="C85" t="e">
        <f>MATCH(B85,Tippspiel!$C$7:$C$13,0)</f>
        <v>#N/A</v>
      </c>
      <c r="G85" s="172"/>
      <c r="H85" s="173"/>
      <c r="I85" s="173"/>
      <c r="J85" s="173"/>
      <c r="K85" s="173"/>
      <c r="P85" s="172"/>
      <c r="Q85" s="173"/>
      <c r="R85" s="173"/>
      <c r="S85" s="173"/>
      <c r="T85" s="173"/>
      <c r="Y85" t="e">
        <f>RANK(Z85,$Z$83:$Z$86)</f>
        <v>#N/A</v>
      </c>
      <c r="Z85" t="e">
        <f t="shared" si="21"/>
        <v>#N/A</v>
      </c>
      <c r="AA85" t="e">
        <f t="shared" si="23"/>
        <v>#N/A</v>
      </c>
      <c r="AB85">
        <f>IF(COUNT($H92:$K92)=COUNT(J90:J93),COUNT($H92:$K92),"")</f>
        <v>0</v>
      </c>
      <c r="AC85">
        <f t="shared" si="24"/>
        <v>0</v>
      </c>
      <c r="AD85" t="e">
        <f>SUM(H92:K92)</f>
        <v>#N/A</v>
      </c>
      <c r="AE85" t="e">
        <f>SUM(J90:J93)</f>
        <v>#N/A</v>
      </c>
      <c r="AF85" t="e">
        <f t="shared" si="22"/>
        <v>#N/A</v>
      </c>
      <c r="AG85">
        <v>0.2</v>
      </c>
    </row>
    <row r="86" spans="1:33" x14ac:dyDescent="0.25">
      <c r="G86" s="172"/>
      <c r="H86" s="173"/>
      <c r="I86" s="173"/>
      <c r="J86" s="173"/>
      <c r="K86" s="173"/>
      <c r="P86" s="172"/>
      <c r="Q86" s="173"/>
      <c r="R86" s="173"/>
      <c r="S86" s="173"/>
      <c r="T86" s="173"/>
      <c r="Y86" t="e">
        <f>RANK(Z86,$Z$83:$Z$86)</f>
        <v>#N/A</v>
      </c>
      <c r="Z86" t="e">
        <f t="shared" si="21"/>
        <v>#N/A</v>
      </c>
      <c r="AA86" t="e">
        <f t="shared" si="23"/>
        <v>#N/A</v>
      </c>
      <c r="AB86">
        <f>IF(COUNT($H93:$K93)=COUNT(K90:K93),COUNT($H93:$K93),"")</f>
        <v>0</v>
      </c>
      <c r="AC86">
        <f t="shared" si="24"/>
        <v>0</v>
      </c>
      <c r="AD86" t="e">
        <f>SUM(H93:K93)</f>
        <v>#N/A</v>
      </c>
      <c r="AE86" t="e">
        <f>SUM(K90:K93)</f>
        <v>#N/A</v>
      </c>
      <c r="AF86" t="e">
        <f t="shared" si="22"/>
        <v>#N/A</v>
      </c>
      <c r="AG86">
        <v>0.1</v>
      </c>
    </row>
    <row r="87" spans="1:33" x14ac:dyDescent="0.25">
      <c r="A87">
        <v>1</v>
      </c>
      <c r="B87" t="e">
        <f>VLOOKUP(A87,$A$82:$C$85,2,FALSE)</f>
        <v>#N/A</v>
      </c>
      <c r="G87" s="172"/>
      <c r="H87" s="173"/>
      <c r="I87" s="173"/>
      <c r="J87" s="173"/>
      <c r="K87" s="173"/>
      <c r="P87" s="172"/>
      <c r="Q87" s="173"/>
      <c r="R87" s="173"/>
      <c r="S87" s="173"/>
      <c r="T87" s="173"/>
    </row>
    <row r="88" spans="1:33" x14ac:dyDescent="0.25">
      <c r="A88">
        <v>2</v>
      </c>
      <c r="B88" t="e">
        <f t="shared" ref="B88:B90" si="25">VLOOKUP(A88,$A$82:$C$85,2,FALSE)</f>
        <v>#N/A</v>
      </c>
      <c r="G88" s="172"/>
      <c r="H88" s="173"/>
      <c r="I88" s="173"/>
      <c r="J88" s="173"/>
      <c r="K88" s="173"/>
      <c r="P88" s="172"/>
      <c r="Q88" s="173"/>
      <c r="R88" s="173"/>
      <c r="S88" s="173"/>
      <c r="T88" s="173"/>
    </row>
    <row r="89" spans="1:33" x14ac:dyDescent="0.25">
      <c r="A89">
        <v>3</v>
      </c>
      <c r="B89" t="e">
        <f t="shared" si="25"/>
        <v>#N/A</v>
      </c>
      <c r="G89" s="172"/>
      <c r="H89" s="173"/>
      <c r="I89" s="173"/>
      <c r="J89" s="173"/>
      <c r="K89" s="173"/>
      <c r="P89" s="172"/>
      <c r="Q89" s="173"/>
      <c r="R89" s="173"/>
      <c r="S89" s="173"/>
      <c r="T89" s="173"/>
    </row>
    <row r="90" spans="1:33" x14ac:dyDescent="0.25">
      <c r="A90">
        <v>4</v>
      </c>
      <c r="B90" t="e">
        <f t="shared" si="25"/>
        <v>#N/A</v>
      </c>
      <c r="G90" t="e">
        <f t="shared" ref="G90:G93" si="26">B87</f>
        <v>#N/A</v>
      </c>
      <c r="H90" s="5"/>
      <c r="I90" t="e">
        <f>VLOOKUP($G90&amp;I$82,$A$4:$E$24,4,FALSE)</f>
        <v>#N/A</v>
      </c>
      <c r="J90" t="e">
        <f t="shared" ref="J90:K92" si="27">VLOOKUP($G90&amp;J$82,$A$4:$E$24,4,FALSE)</f>
        <v>#N/A</v>
      </c>
      <c r="K90" t="e">
        <f t="shared" si="27"/>
        <v>#N/A</v>
      </c>
      <c r="P90" t="e">
        <f t="shared" ref="P90:P93" si="28">G90</f>
        <v>#N/A</v>
      </c>
      <c r="Q90" s="5"/>
      <c r="R90" t="str">
        <f>IF(AND(ISNUMBER(I90),ISNUMBER(H91)),IF(I90&gt;H91,3,IF(I90&lt;H91,0,1)),"")</f>
        <v/>
      </c>
      <c r="S90" t="str">
        <f>IF(AND(ISNUMBER(J90),ISNUMBER(H92)),IF(J90&gt;H92,3,IF(J90&lt;H92,0,1)),"")</f>
        <v/>
      </c>
      <c r="T90" t="str">
        <f>IF(AND(ISNUMBER(K90),ISNUMBER(H93)),IF(K90&gt;H93,3,IF(K90&lt;H93,0,1)),"")</f>
        <v/>
      </c>
    </row>
    <row r="91" spans="1:33" x14ac:dyDescent="0.25">
      <c r="G91" t="e">
        <f t="shared" si="26"/>
        <v>#N/A</v>
      </c>
      <c r="H91" t="e">
        <f>VLOOKUP(H$82&amp;$G91,$A$4:$E$24,5,FALSE)</f>
        <v>#N/A</v>
      </c>
      <c r="I91" s="5"/>
      <c r="J91" t="e">
        <f t="shared" si="27"/>
        <v>#N/A</v>
      </c>
      <c r="K91" t="e">
        <f t="shared" si="27"/>
        <v>#N/A</v>
      </c>
      <c r="P91" t="e">
        <f t="shared" si="28"/>
        <v>#N/A</v>
      </c>
      <c r="Q91" t="str">
        <f>IF(AND(ISNUMBER(H91),ISNUMBER(I90)),IF(H91&gt;I90,3,IF(H91&lt;I90,0,1)),"")</f>
        <v/>
      </c>
      <c r="R91" s="5"/>
      <c r="S91" t="str">
        <f>IF(AND(ISNUMBER(J91),ISNUMBER(I92)),IF(J91&gt;I92,3,IF(J91&lt;I92,0,1)),"")</f>
        <v/>
      </c>
      <c r="T91" t="str">
        <f>IF(AND(ISNUMBER(K91),ISNUMBER(I93)),IF(K91&gt;I93,3,IF(K91&lt;I93,0,1)),"")</f>
        <v/>
      </c>
    </row>
    <row r="92" spans="1:33" x14ac:dyDescent="0.25">
      <c r="G92" t="e">
        <f t="shared" si="26"/>
        <v>#N/A</v>
      </c>
      <c r="H92" t="e">
        <f>VLOOKUP(H$82&amp;$G92,$A$4:$E$24,5,FALSE)</f>
        <v>#N/A</v>
      </c>
      <c r="I92" t="e">
        <f>VLOOKUP(I$82&amp;$G92,$A$4:$E$24,5,FALSE)</f>
        <v>#N/A</v>
      </c>
      <c r="J92" s="5"/>
      <c r="K92" t="e">
        <f t="shared" si="27"/>
        <v>#N/A</v>
      </c>
      <c r="P92" t="e">
        <f t="shared" si="28"/>
        <v>#N/A</v>
      </c>
      <c r="Q92" t="str">
        <f>IF(AND(ISNUMBER(H92),ISNUMBER(J90)),IF(H92&gt;J90,3,IF(H92&lt;J90,0,1)),"")</f>
        <v/>
      </c>
      <c r="R92" t="str">
        <f>IF(AND(ISNUMBER(I92),ISNUMBER(J91)),IF(I92&gt;J91,3,IF(I92&lt;J91,0,1)),"")</f>
        <v/>
      </c>
      <c r="S92" s="5"/>
      <c r="T92" t="str">
        <f>IF(AND(ISNUMBER(K92),ISNUMBER(J93)),IF(K92&gt;J93,3,IF(K92&lt;J93,0,1)),"")</f>
        <v/>
      </c>
    </row>
    <row r="93" spans="1:33" x14ac:dyDescent="0.25">
      <c r="G93" t="e">
        <f t="shared" si="26"/>
        <v>#N/A</v>
      </c>
      <c r="H93" t="e">
        <f>VLOOKUP(H$82&amp;$G93,$A$4:$E$24,5,FALSE)</f>
        <v>#N/A</v>
      </c>
      <c r="I93" t="e">
        <f>VLOOKUP(I$82&amp;$G93,$A$4:$E$24,5,FALSE)</f>
        <v>#N/A</v>
      </c>
      <c r="J93" t="e">
        <f>VLOOKUP(J$82&amp;$G93,$A$4:$E$24,5,FALSE)</f>
        <v>#N/A</v>
      </c>
      <c r="K93" s="5"/>
      <c r="P93" t="e">
        <f t="shared" si="28"/>
        <v>#N/A</v>
      </c>
      <c r="Q93" t="str">
        <f>IF(AND(ISNUMBER(H93),ISNUMBER(K90)),IF(H93&gt;K90,3,IF(H93&lt;K90,0,1)),"")</f>
        <v/>
      </c>
      <c r="R93" t="str">
        <f>IF(AND(ISNUMBER(I93),ISNUMBER(K91)),IF(I93&gt;K91,3,IF(I93&lt;K91,0,1)),"")</f>
        <v/>
      </c>
      <c r="S93" t="str">
        <f>IF(AND(ISNUMBER(J93),ISNUMBER(K92)),IF(J93&gt;K92,3,IF(J93&lt;K92,0,1)),"")</f>
        <v/>
      </c>
      <c r="T93" s="5"/>
    </row>
    <row r="97" spans="1:34" x14ac:dyDescent="0.25">
      <c r="A97" s="171" t="s">
        <v>74</v>
      </c>
      <c r="B97" s="171"/>
      <c r="C97" s="171"/>
      <c r="D97" s="171"/>
      <c r="E97" s="171"/>
      <c r="F97" s="171"/>
      <c r="G97" s="171"/>
      <c r="H97" s="171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171"/>
      <c r="AC97" s="171"/>
      <c r="AD97" s="171"/>
      <c r="AE97" s="171"/>
      <c r="AF97" s="171"/>
      <c r="AG97" s="171"/>
      <c r="AH97" s="171"/>
    </row>
    <row r="99" spans="1:34" x14ac:dyDescent="0.25">
      <c r="A99" t="s">
        <v>64</v>
      </c>
      <c r="B99" t="str">
        <f>Vergleich!C45</f>
        <v>Vorrunde</v>
      </c>
      <c r="C99" t="str">
        <f>IF(B99="Vorrunde",ADDRESS(ROW($A$4),COLUMN($A$4),1,1)&amp;":"&amp;ADDRESS(ROW($E$24),COLUMN($E$24),1,1),ADDRESS(ROW($A$29),COLUMN($A$29),1,1)&amp;":"&amp;ADDRESS(ROW($E$31),COLUMN($E$31),1,1))</f>
        <v>$A$4:$E$24</v>
      </c>
    </row>
    <row r="101" spans="1:34" x14ac:dyDescent="0.25">
      <c r="A101" t="e">
        <f>RANK(C101,$C$101:$C$105,1)</f>
        <v>#N/A</v>
      </c>
      <c r="B101">
        <f>Vergleich!C46</f>
        <v>0</v>
      </c>
      <c r="C101" t="e">
        <f>MATCH(B101,Tippspiel!$C$7:$C$13,0)</f>
        <v>#N/A</v>
      </c>
      <c r="G101" s="172" t="s">
        <v>47</v>
      </c>
      <c r="H101" s="173" t="e">
        <f>G109</f>
        <v>#N/A</v>
      </c>
      <c r="I101" s="173" t="e">
        <f>G110</f>
        <v>#N/A</v>
      </c>
      <c r="J101" s="173" t="e">
        <f>G111</f>
        <v>#N/A</v>
      </c>
      <c r="K101" s="173" t="e">
        <f>G112</f>
        <v>#N/A</v>
      </c>
      <c r="L101" s="173" t="e">
        <f>G113</f>
        <v>#N/A</v>
      </c>
      <c r="P101" s="172" t="s">
        <v>46</v>
      </c>
      <c r="Q101" s="173" t="e">
        <f t="shared" ref="Q101:U101" si="29">H101</f>
        <v>#N/A</v>
      </c>
      <c r="R101" s="173" t="e">
        <f t="shared" si="29"/>
        <v>#N/A</v>
      </c>
      <c r="S101" s="173" t="e">
        <f t="shared" si="29"/>
        <v>#N/A</v>
      </c>
      <c r="T101" s="173" t="e">
        <f t="shared" si="29"/>
        <v>#N/A</v>
      </c>
      <c r="U101" s="173" t="e">
        <f t="shared" si="29"/>
        <v>#N/A</v>
      </c>
      <c r="AA101" s="4" t="s">
        <v>53</v>
      </c>
      <c r="AB101" s="4" t="s">
        <v>45</v>
      </c>
      <c r="AC101" s="4" t="s">
        <v>46</v>
      </c>
      <c r="AD101" s="4" t="s">
        <v>47</v>
      </c>
      <c r="AE101" s="4" t="s">
        <v>48</v>
      </c>
      <c r="AF101" s="4" t="s">
        <v>51</v>
      </c>
      <c r="AG101" s="4" t="s">
        <v>52</v>
      </c>
    </row>
    <row r="102" spans="1:34" x14ac:dyDescent="0.25">
      <c r="A102" t="e">
        <f>RANK(C102,$C$101:$C$105,1)</f>
        <v>#N/A</v>
      </c>
      <c r="B102">
        <f>Vergleich!C47</f>
        <v>0</v>
      </c>
      <c r="C102" t="e">
        <f>MATCH(B102,Tippspiel!$C$7:$C$13,0)</f>
        <v>#N/A</v>
      </c>
      <c r="G102" s="172"/>
      <c r="H102" s="173"/>
      <c r="I102" s="173"/>
      <c r="J102" s="173"/>
      <c r="K102" s="173"/>
      <c r="L102" s="173"/>
      <c r="P102" s="172"/>
      <c r="Q102" s="173"/>
      <c r="R102" s="173"/>
      <c r="S102" s="173"/>
      <c r="T102" s="173"/>
      <c r="U102" s="173"/>
      <c r="Y102" t="e">
        <f>RANK(Z102,$Z$102:$Z$106)</f>
        <v>#N/A</v>
      </c>
      <c r="Z102" t="e">
        <f t="shared" ref="Z102:Z106" si="30">10000*AC102+1000*AF102+100*AD102+AG102</f>
        <v>#N/A</v>
      </c>
      <c r="AA102" t="e">
        <f>B107</f>
        <v>#N/A</v>
      </c>
      <c r="AB102">
        <f>IF(COUNT($H109:$L109)=COUNT(H109:H113),COUNT($H109:$L109),"")</f>
        <v>0</v>
      </c>
      <c r="AC102">
        <f>SUM(Q109:U109)</f>
        <v>0</v>
      </c>
      <c r="AD102" t="e">
        <f>SUM(H109:L109)</f>
        <v>#N/A</v>
      </c>
      <c r="AE102" t="e">
        <f>SUM(H109:H113)</f>
        <v>#N/A</v>
      </c>
      <c r="AF102" t="e">
        <f t="shared" ref="AF102:AF106" si="31">AD102-AE102</f>
        <v>#N/A</v>
      </c>
      <c r="AG102">
        <v>0.5</v>
      </c>
    </row>
    <row r="103" spans="1:34" x14ac:dyDescent="0.25">
      <c r="A103" t="e">
        <f>RANK(C103,$C$101:$C$105,1)</f>
        <v>#N/A</v>
      </c>
      <c r="B103">
        <f>Vergleich!C48</f>
        <v>0</v>
      </c>
      <c r="C103" t="e">
        <f>MATCH(B103,Tippspiel!$C$7:$C$13,0)</f>
        <v>#N/A</v>
      </c>
      <c r="G103" s="172"/>
      <c r="H103" s="173"/>
      <c r="I103" s="173"/>
      <c r="J103" s="173"/>
      <c r="K103" s="173"/>
      <c r="L103" s="173"/>
      <c r="P103" s="172"/>
      <c r="Q103" s="173"/>
      <c r="R103" s="173"/>
      <c r="S103" s="173"/>
      <c r="T103" s="173"/>
      <c r="U103" s="173"/>
      <c r="Y103" t="e">
        <f t="shared" ref="Y103:Y106" si="32">RANK(Z103,$Z$102:$Z$106)</f>
        <v>#N/A</v>
      </c>
      <c r="Z103" t="e">
        <f t="shared" si="30"/>
        <v>#N/A</v>
      </c>
      <c r="AA103" t="e">
        <f t="shared" ref="AA103:AA106" si="33">B108</f>
        <v>#N/A</v>
      </c>
      <c r="AB103">
        <f>IF(COUNT($H110:$L110)=COUNT(I109:I113),COUNT($H110:$L110),"")</f>
        <v>0</v>
      </c>
      <c r="AC103">
        <f t="shared" ref="AC103:AC106" si="34">SUM(Q110:U110)</f>
        <v>0</v>
      </c>
      <c r="AD103" t="e">
        <f t="shared" ref="AD103:AD106" si="35">SUM(H110:L110)</f>
        <v>#N/A</v>
      </c>
      <c r="AE103" t="e">
        <f>SUM(I109:I113)</f>
        <v>#N/A</v>
      </c>
      <c r="AF103" t="e">
        <f t="shared" si="31"/>
        <v>#N/A</v>
      </c>
      <c r="AG103">
        <v>0.4</v>
      </c>
    </row>
    <row r="104" spans="1:34" x14ac:dyDescent="0.25">
      <c r="A104" t="e">
        <f>RANK(C104,$C$101:$C$105,1)</f>
        <v>#N/A</v>
      </c>
      <c r="B104">
        <f>Vergleich!C49</f>
        <v>0</v>
      </c>
      <c r="C104" t="e">
        <f>MATCH(B104,Tippspiel!$C$7:$C$13,0)</f>
        <v>#N/A</v>
      </c>
      <c r="G104" s="172"/>
      <c r="H104" s="173"/>
      <c r="I104" s="173"/>
      <c r="J104" s="173"/>
      <c r="K104" s="173"/>
      <c r="L104" s="173"/>
      <c r="P104" s="172"/>
      <c r="Q104" s="173"/>
      <c r="R104" s="173"/>
      <c r="S104" s="173"/>
      <c r="T104" s="173"/>
      <c r="U104" s="173"/>
      <c r="Y104" t="e">
        <f t="shared" si="32"/>
        <v>#N/A</v>
      </c>
      <c r="Z104" t="e">
        <f t="shared" si="30"/>
        <v>#N/A</v>
      </c>
      <c r="AA104" t="e">
        <f t="shared" si="33"/>
        <v>#N/A</v>
      </c>
      <c r="AB104">
        <f>IF(COUNT($H111:$L111)=COUNT(J109:J113),COUNT($H111:$L111),"")</f>
        <v>0</v>
      </c>
      <c r="AC104">
        <f t="shared" si="34"/>
        <v>0</v>
      </c>
      <c r="AD104" t="e">
        <f t="shared" si="35"/>
        <v>#N/A</v>
      </c>
      <c r="AE104" t="e">
        <f>SUM(J109:J113)</f>
        <v>#N/A</v>
      </c>
      <c r="AF104" t="e">
        <f t="shared" si="31"/>
        <v>#N/A</v>
      </c>
      <c r="AG104">
        <v>0.3</v>
      </c>
    </row>
    <row r="105" spans="1:34" x14ac:dyDescent="0.25">
      <c r="A105" t="e">
        <f>RANK(C105,$C$101:$C$105,1)</f>
        <v>#N/A</v>
      </c>
      <c r="B105">
        <f>Vergleich!C50</f>
        <v>0</v>
      </c>
      <c r="C105" t="e">
        <f>MATCH(B105,Tippspiel!$C$7:$C$13,0)</f>
        <v>#N/A</v>
      </c>
      <c r="G105" s="172"/>
      <c r="H105" s="173"/>
      <c r="I105" s="173"/>
      <c r="J105" s="173"/>
      <c r="K105" s="173"/>
      <c r="L105" s="173"/>
      <c r="P105" s="172"/>
      <c r="Q105" s="173"/>
      <c r="R105" s="173"/>
      <c r="S105" s="173"/>
      <c r="T105" s="173"/>
      <c r="U105" s="173"/>
      <c r="Y105" t="e">
        <f t="shared" si="32"/>
        <v>#N/A</v>
      </c>
      <c r="Z105" t="e">
        <f t="shared" si="30"/>
        <v>#N/A</v>
      </c>
      <c r="AA105" t="e">
        <f t="shared" si="33"/>
        <v>#N/A</v>
      </c>
      <c r="AB105">
        <f>IF(COUNT($H112:$L112)=COUNT(K109:K113),COUNT($H112:$L112),"")</f>
        <v>0</v>
      </c>
      <c r="AC105">
        <f t="shared" si="34"/>
        <v>0</v>
      </c>
      <c r="AD105" t="e">
        <f t="shared" si="35"/>
        <v>#N/A</v>
      </c>
      <c r="AE105" t="e">
        <f>SUM(K109:K113)</f>
        <v>#N/A</v>
      </c>
      <c r="AF105" t="e">
        <f t="shared" si="31"/>
        <v>#N/A</v>
      </c>
      <c r="AG105">
        <v>0.2</v>
      </c>
    </row>
    <row r="106" spans="1:34" x14ac:dyDescent="0.25">
      <c r="G106" s="172"/>
      <c r="H106" s="173"/>
      <c r="I106" s="173"/>
      <c r="J106" s="173"/>
      <c r="K106" s="173"/>
      <c r="L106" s="173"/>
      <c r="P106" s="172"/>
      <c r="Q106" s="173"/>
      <c r="R106" s="173"/>
      <c r="S106" s="173"/>
      <c r="T106" s="173"/>
      <c r="U106" s="173"/>
      <c r="Y106" t="e">
        <f t="shared" si="32"/>
        <v>#N/A</v>
      </c>
      <c r="Z106" t="e">
        <f t="shared" si="30"/>
        <v>#N/A</v>
      </c>
      <c r="AA106" t="e">
        <f t="shared" si="33"/>
        <v>#N/A</v>
      </c>
      <c r="AB106">
        <f>IF(COUNT($H113:$L113)=COUNT(L109:L113),COUNT($H113:$L113),"")</f>
        <v>0</v>
      </c>
      <c r="AC106">
        <f t="shared" si="34"/>
        <v>0</v>
      </c>
      <c r="AD106" t="e">
        <f t="shared" si="35"/>
        <v>#N/A</v>
      </c>
      <c r="AE106" t="e">
        <f>SUM(L109:L113)</f>
        <v>#N/A</v>
      </c>
      <c r="AF106" t="e">
        <f t="shared" si="31"/>
        <v>#N/A</v>
      </c>
      <c r="AG106">
        <v>0.1</v>
      </c>
    </row>
    <row r="107" spans="1:34" x14ac:dyDescent="0.25">
      <c r="A107">
        <v>1</v>
      </c>
      <c r="B107" t="e">
        <f>VLOOKUP(A107,$A$101:$C$105,2,FALSE)</f>
        <v>#N/A</v>
      </c>
      <c r="G107" s="172"/>
      <c r="H107" s="173"/>
      <c r="I107" s="173"/>
      <c r="J107" s="173"/>
      <c r="K107" s="173"/>
      <c r="L107" s="173"/>
      <c r="P107" s="172"/>
      <c r="Q107" s="173"/>
      <c r="R107" s="173"/>
      <c r="S107" s="173"/>
      <c r="T107" s="173"/>
      <c r="U107" s="173"/>
    </row>
    <row r="108" spans="1:34" x14ac:dyDescent="0.25">
      <c r="A108">
        <v>2</v>
      </c>
      <c r="B108" t="e">
        <f>VLOOKUP(A108,$A$101:$C$105,2,FALSE)</f>
        <v>#N/A</v>
      </c>
      <c r="G108" s="172"/>
      <c r="H108" s="173"/>
      <c r="I108" s="173"/>
      <c r="J108" s="173"/>
      <c r="K108" s="173"/>
      <c r="L108" s="173"/>
      <c r="P108" s="172"/>
      <c r="Q108" s="173"/>
      <c r="R108" s="173"/>
      <c r="S108" s="173"/>
      <c r="T108" s="173"/>
      <c r="U108" s="173"/>
    </row>
    <row r="109" spans="1:34" x14ac:dyDescent="0.25">
      <c r="A109">
        <v>3</v>
      </c>
      <c r="B109" t="e">
        <f t="shared" ref="B109:B111" si="36">VLOOKUP(A109,$A$101:$C$105,2,FALSE)</f>
        <v>#N/A</v>
      </c>
      <c r="G109" t="e">
        <f t="shared" ref="G109:G113" si="37">B107</f>
        <v>#N/A</v>
      </c>
      <c r="H109" s="5"/>
      <c r="I109" t="e">
        <f>VLOOKUP($G109&amp;I$101,$A$4:$E$24,4,FALSE)</f>
        <v>#N/A</v>
      </c>
      <c r="J109" t="e">
        <f t="shared" ref="J109:L110" si="38">VLOOKUP($G109&amp;J$101,$A$4:$E$24,4,FALSE)</f>
        <v>#N/A</v>
      </c>
      <c r="K109" t="e">
        <f t="shared" si="38"/>
        <v>#N/A</v>
      </c>
      <c r="L109" t="e">
        <f t="shared" si="38"/>
        <v>#N/A</v>
      </c>
      <c r="P109" t="e">
        <f t="shared" ref="P109:P113" si="39">G109</f>
        <v>#N/A</v>
      </c>
      <c r="Q109" s="5"/>
      <c r="R109" t="str">
        <f>IF(AND(ISNUMBER(I109),ISNUMBER(H110)),IF(I109&gt;H110,3,IF(I109&lt;H110,0,1)),"")</f>
        <v/>
      </c>
      <c r="S109" t="str">
        <f>IF(AND(ISNUMBER(J109),ISNUMBER(H111)),IF(J109&gt;H111,3,IF(J109&lt;H111,0,1)),"")</f>
        <v/>
      </c>
      <c r="T109" t="str">
        <f>IF(AND(ISNUMBER(K109),ISNUMBER(H112)),IF(K109&gt;H112,3,IF(K109&lt;H112,0,1)),"")</f>
        <v/>
      </c>
      <c r="U109" t="str">
        <f>IF(AND(ISNUMBER(L109),ISNUMBER(H113)),IF(L109&gt;H113,3,IF(L109&lt;H113,0,1)),"")</f>
        <v/>
      </c>
    </row>
    <row r="110" spans="1:34" x14ac:dyDescent="0.25">
      <c r="A110">
        <v>4</v>
      </c>
      <c r="B110" t="e">
        <f t="shared" si="36"/>
        <v>#N/A</v>
      </c>
      <c r="G110" t="e">
        <f t="shared" si="37"/>
        <v>#N/A</v>
      </c>
      <c r="H110" t="e">
        <f>VLOOKUP(H$101&amp;$G110,$A$4:$E$24,5,FALSE)</f>
        <v>#N/A</v>
      </c>
      <c r="I110" s="5"/>
      <c r="J110" t="e">
        <f t="shared" si="38"/>
        <v>#N/A</v>
      </c>
      <c r="K110" t="e">
        <f t="shared" si="38"/>
        <v>#N/A</v>
      </c>
      <c r="L110" t="e">
        <f t="shared" si="38"/>
        <v>#N/A</v>
      </c>
      <c r="P110" t="e">
        <f t="shared" si="39"/>
        <v>#N/A</v>
      </c>
      <c r="Q110" t="str">
        <f>IF(AND(ISNUMBER(H110),ISNUMBER(I109)),IF(H110&gt;I109,3,IF(H110&lt;I109,0,1)),"")</f>
        <v/>
      </c>
      <c r="R110" s="5"/>
      <c r="S110" t="str">
        <f>IF(AND(ISNUMBER(J110),ISNUMBER(I111)),IF(J110&gt;I111,3,IF(J110&lt;I111,0,1)),"")</f>
        <v/>
      </c>
      <c r="T110" t="str">
        <f>IF(AND(ISNUMBER(K110),ISNUMBER(I112)),IF(K110&gt;I112,3,IF(K110&lt;I112,0,1)),"")</f>
        <v/>
      </c>
      <c r="U110" t="str">
        <f>IF(AND(ISNUMBER(L110),ISNUMBER(I113)),IF(L110&gt;I113,3,IF(L110&lt;I113,0,1)),"")</f>
        <v/>
      </c>
    </row>
    <row r="111" spans="1:34" x14ac:dyDescent="0.25">
      <c r="A111">
        <v>5</v>
      </c>
      <c r="B111" t="e">
        <f t="shared" si="36"/>
        <v>#N/A</v>
      </c>
      <c r="G111" t="e">
        <f t="shared" si="37"/>
        <v>#N/A</v>
      </c>
      <c r="H111" t="e">
        <f t="shared" ref="H111:I113" si="40">VLOOKUP(H$101&amp;$G111,$A$4:$E$24,5,FALSE)</f>
        <v>#N/A</v>
      </c>
      <c r="I111" t="e">
        <f t="shared" si="40"/>
        <v>#N/A</v>
      </c>
      <c r="J111" s="5"/>
      <c r="K111" t="e">
        <f>VLOOKUP($G111&amp;K$101,$A$4:$E$24,4,FALSE)</f>
        <v>#N/A</v>
      </c>
      <c r="L111" t="e">
        <f>VLOOKUP($G111&amp;L$101,$A$4:$E$24,4,FALSE)</f>
        <v>#N/A</v>
      </c>
      <c r="P111" t="e">
        <f t="shared" si="39"/>
        <v>#N/A</v>
      </c>
      <c r="Q111" t="str">
        <f>IF(AND(ISNUMBER(H111),ISNUMBER(J109)),IF(H111&gt;J109,3,IF(H111&lt;J109,0,1)),"")</f>
        <v/>
      </c>
      <c r="R111" t="str">
        <f>IF(AND(ISNUMBER(I111),ISNUMBER(J110)),IF(I111&gt;J110,3,IF(I111&lt;J110,0,1)),"")</f>
        <v/>
      </c>
      <c r="S111" s="5"/>
      <c r="T111" t="str">
        <f>IF(AND(ISNUMBER(K111),ISNUMBER(J112)),IF(K111&gt;J112,3,IF(K111&lt;J112,0,1)),"")</f>
        <v/>
      </c>
      <c r="U111" t="str">
        <f>IF(AND(ISNUMBER(L111),ISNUMBER(J113)),IF(L111&gt;J113,3,IF(L111&lt;J113,0,1)),"")</f>
        <v/>
      </c>
    </row>
    <row r="112" spans="1:34" x14ac:dyDescent="0.25">
      <c r="G112" t="e">
        <f t="shared" si="37"/>
        <v>#N/A</v>
      </c>
      <c r="H112" t="e">
        <f t="shared" si="40"/>
        <v>#N/A</v>
      </c>
      <c r="I112" t="e">
        <f t="shared" si="40"/>
        <v>#N/A</v>
      </c>
      <c r="J112" t="e">
        <f>VLOOKUP(J$101&amp;$G112,$A$4:$E$24,5,FALSE)</f>
        <v>#N/A</v>
      </c>
      <c r="K112" s="5"/>
      <c r="L112" t="e">
        <f>VLOOKUP($G112&amp;L$101,$A$4:$E$24,4,FALSE)</f>
        <v>#N/A</v>
      </c>
      <c r="P112" t="e">
        <f t="shared" si="39"/>
        <v>#N/A</v>
      </c>
      <c r="Q112" t="str">
        <f>IF(AND(ISNUMBER(H112),ISNUMBER(K109)),IF(H112&gt;K109,3,IF(H112&lt;K109,0,1)),"")</f>
        <v/>
      </c>
      <c r="R112" t="str">
        <f>IF(AND(ISNUMBER(I112),ISNUMBER(K110)),IF(I112&gt;K110,3,IF(I112&lt;K110,0,1)),"")</f>
        <v/>
      </c>
      <c r="S112" t="str">
        <f>IF(AND(ISNUMBER(J112),ISNUMBER(K111)),IF(J112&gt;K111,3,IF(J112&lt;K111,0,1)),"")</f>
        <v/>
      </c>
      <c r="T112" s="5"/>
      <c r="U112" t="str">
        <f>IF(AND(ISNUMBER(L112),ISNUMBER(K113)),IF(L112&gt;K113,3,IF(L112&lt;K113,0,1)),"")</f>
        <v/>
      </c>
    </row>
    <row r="113" spans="1:34" x14ac:dyDescent="0.25">
      <c r="G113" t="e">
        <f t="shared" si="37"/>
        <v>#N/A</v>
      </c>
      <c r="H113" t="e">
        <f t="shared" si="40"/>
        <v>#N/A</v>
      </c>
      <c r="I113" t="e">
        <f t="shared" si="40"/>
        <v>#N/A</v>
      </c>
      <c r="J113" t="e">
        <f>VLOOKUP(J$101&amp;$G113,$A$4:$E$24,5,FALSE)</f>
        <v>#N/A</v>
      </c>
      <c r="K113" t="e">
        <f>VLOOKUP(K$101&amp;$G113,$A$4:$E$24,5,FALSE)</f>
        <v>#N/A</v>
      </c>
      <c r="L113" s="5"/>
      <c r="P113" t="e">
        <f t="shared" si="39"/>
        <v>#N/A</v>
      </c>
      <c r="Q113" t="str">
        <f>IF(AND(ISNUMBER(H113),ISNUMBER(L109)),IF(H113&gt;L109,3,IF(H113&lt;L109,0,1)),"")</f>
        <v/>
      </c>
      <c r="R113" t="str">
        <f>IF(AND(ISNUMBER(I113),ISNUMBER(L110)),IF(I113&gt;L110,3,IF(I113&lt;L110,0,1)),"")</f>
        <v/>
      </c>
      <c r="S113" t="str">
        <f>IF(AND(ISNUMBER(J113),ISNUMBER(L111)),IF(J113&gt;L111,3,IF(J113&lt;L111,0,1)),"")</f>
        <v/>
      </c>
      <c r="T113" t="str">
        <f>IF(AND(ISNUMBER(K113),ISNUMBER(L112)),IF(K113&gt;L112,3,IF(K113&lt;L112,0,1)),"")</f>
        <v/>
      </c>
      <c r="U113" s="5"/>
    </row>
    <row r="117" spans="1:34" x14ac:dyDescent="0.25">
      <c r="A117" s="171" t="s">
        <v>76</v>
      </c>
      <c r="B117" s="171"/>
      <c r="C117" s="171"/>
      <c r="D117" s="171"/>
      <c r="E117" s="171"/>
      <c r="F117" s="171"/>
      <c r="G117" s="171"/>
      <c r="H117" s="171"/>
      <c r="I117" s="171"/>
      <c r="J117" s="171"/>
      <c r="K117" s="171"/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  <c r="AA117" s="171"/>
      <c r="AB117" s="171"/>
      <c r="AC117" s="171"/>
      <c r="AD117" s="171"/>
      <c r="AE117" s="171"/>
      <c r="AF117" s="171"/>
      <c r="AG117" s="171"/>
      <c r="AH117" s="171"/>
    </row>
    <row r="119" spans="1:34" x14ac:dyDescent="0.25">
      <c r="A119" t="s">
        <v>64</v>
      </c>
      <c r="B119" t="str">
        <f>Vergleich!C61</f>
        <v>Vorrunde</v>
      </c>
      <c r="C119" t="str">
        <f>IF(B119="Vorrunde",ADDRESS(ROW($A$4),COLUMN($A$4),1,1)&amp;":"&amp;ADDRESS(ROW($E$24),COLUMN($E$24),1,1),ADDRESS(ROW($A$29),COLUMN($A$29),1,1)&amp;":"&amp;ADDRESS(ROW($E$31),COLUMN($E$31),1,1))</f>
        <v>$A$4:$E$24</v>
      </c>
    </row>
    <row r="121" spans="1:34" x14ac:dyDescent="0.25">
      <c r="A121" t="e">
        <f>RANK(C121,$C$121:$C$126,1)</f>
        <v>#N/A</v>
      </c>
      <c r="B121">
        <f>Vergleich!C62</f>
        <v>0</v>
      </c>
      <c r="C121" t="e">
        <f>MATCH(B121,Tippspiel!$C$7:$C$13,0)</f>
        <v>#N/A</v>
      </c>
      <c r="G121" s="172" t="s">
        <v>47</v>
      </c>
      <c r="H121" s="173" t="e">
        <f>G129</f>
        <v>#N/A</v>
      </c>
      <c r="I121" s="173" t="e">
        <f>G130</f>
        <v>#N/A</v>
      </c>
      <c r="J121" s="173" t="e">
        <f>G131</f>
        <v>#N/A</v>
      </c>
      <c r="K121" s="173" t="e">
        <f>G132</f>
        <v>#N/A</v>
      </c>
      <c r="L121" s="173" t="e">
        <f>G133</f>
        <v>#N/A</v>
      </c>
      <c r="M121" s="173" t="e">
        <f>G134</f>
        <v>#N/A</v>
      </c>
      <c r="P121" s="172" t="s">
        <v>46</v>
      </c>
      <c r="Q121" s="173" t="e">
        <f t="shared" ref="Q121:V121" si="41">H121</f>
        <v>#N/A</v>
      </c>
      <c r="R121" s="173" t="e">
        <f t="shared" si="41"/>
        <v>#N/A</v>
      </c>
      <c r="S121" s="173" t="e">
        <f t="shared" si="41"/>
        <v>#N/A</v>
      </c>
      <c r="T121" s="173" t="e">
        <f t="shared" si="41"/>
        <v>#N/A</v>
      </c>
      <c r="U121" s="173" t="e">
        <f t="shared" si="41"/>
        <v>#N/A</v>
      </c>
      <c r="V121" s="173" t="e">
        <f t="shared" si="41"/>
        <v>#N/A</v>
      </c>
      <c r="AA121" s="4" t="s">
        <v>53</v>
      </c>
      <c r="AB121" s="4" t="s">
        <v>45</v>
      </c>
      <c r="AC121" s="4" t="s">
        <v>46</v>
      </c>
      <c r="AD121" s="4" t="s">
        <v>47</v>
      </c>
      <c r="AE121" s="4" t="s">
        <v>48</v>
      </c>
      <c r="AF121" s="4" t="s">
        <v>51</v>
      </c>
      <c r="AG121" s="4" t="s">
        <v>52</v>
      </c>
    </row>
    <row r="122" spans="1:34" x14ac:dyDescent="0.25">
      <c r="A122" t="e">
        <f t="shared" ref="A122:A126" si="42">RANK(C122,$C$121:$C$126,1)</f>
        <v>#N/A</v>
      </c>
      <c r="B122">
        <f>Vergleich!C63</f>
        <v>0</v>
      </c>
      <c r="C122" t="e">
        <f>MATCH(B122,Tippspiel!$C$7:$C$13,0)</f>
        <v>#N/A</v>
      </c>
      <c r="G122" s="172"/>
      <c r="H122" s="173"/>
      <c r="I122" s="173"/>
      <c r="J122" s="173"/>
      <c r="K122" s="173"/>
      <c r="L122" s="173"/>
      <c r="M122" s="173"/>
      <c r="P122" s="172"/>
      <c r="Q122" s="173"/>
      <c r="R122" s="173"/>
      <c r="S122" s="173"/>
      <c r="T122" s="173"/>
      <c r="U122" s="173"/>
      <c r="V122" s="173"/>
      <c r="Y122" t="e">
        <f>RANK(Z122,$Z$122:$Z$127)</f>
        <v>#N/A</v>
      </c>
      <c r="Z122" t="e">
        <f t="shared" ref="Z122:Z127" si="43">10000*AC122+1000*AF122+100*AD122+AG122</f>
        <v>#N/A</v>
      </c>
      <c r="AA122" t="e">
        <f t="shared" ref="AA122:AA127" si="44">B128</f>
        <v>#N/A</v>
      </c>
      <c r="AB122">
        <f>IF(COUNT($H129:$M129)=COUNT(H129:H134),COUNT($H129:$M129),"")</f>
        <v>0</v>
      </c>
      <c r="AC122">
        <f>SUM(Q129:V129)</f>
        <v>0</v>
      </c>
      <c r="AD122" t="e">
        <f>SUM(H129:M129)</f>
        <v>#N/A</v>
      </c>
      <c r="AE122" t="e">
        <f>SUM(H129:H134)</f>
        <v>#N/A</v>
      </c>
      <c r="AF122" t="e">
        <f t="shared" ref="AF122:AF127" si="45">AD122-AE122</f>
        <v>#N/A</v>
      </c>
      <c r="AG122">
        <v>0.6</v>
      </c>
    </row>
    <row r="123" spans="1:34" x14ac:dyDescent="0.25">
      <c r="A123" t="e">
        <f t="shared" si="42"/>
        <v>#N/A</v>
      </c>
      <c r="B123">
        <f>Vergleich!C64</f>
        <v>0</v>
      </c>
      <c r="C123" t="e">
        <f>MATCH(B123,Tippspiel!$C$7:$C$13,0)</f>
        <v>#N/A</v>
      </c>
      <c r="G123" s="172"/>
      <c r="H123" s="173"/>
      <c r="I123" s="173"/>
      <c r="J123" s="173"/>
      <c r="K123" s="173"/>
      <c r="L123" s="173"/>
      <c r="M123" s="173"/>
      <c r="P123" s="172"/>
      <c r="Q123" s="173"/>
      <c r="R123" s="173"/>
      <c r="S123" s="173"/>
      <c r="T123" s="173"/>
      <c r="U123" s="173"/>
      <c r="V123" s="173"/>
      <c r="Y123" t="e">
        <f t="shared" ref="Y123:Y127" si="46">RANK(Z123,$Z$122:$Z$127)</f>
        <v>#N/A</v>
      </c>
      <c r="Z123" t="e">
        <f t="shared" si="43"/>
        <v>#N/A</v>
      </c>
      <c r="AA123" t="e">
        <f t="shared" si="44"/>
        <v>#N/A</v>
      </c>
      <c r="AB123">
        <f>IF(COUNT($H130:$M130)=COUNT(I129:I134),COUNT($H130:$M130),"")</f>
        <v>0</v>
      </c>
      <c r="AC123">
        <f t="shared" ref="AC123:AC127" si="47">SUM(Q130:V130)</f>
        <v>0</v>
      </c>
      <c r="AD123" t="e">
        <f t="shared" ref="AD123:AD127" si="48">SUM(H130:M130)</f>
        <v>#N/A</v>
      </c>
      <c r="AE123" t="e">
        <f>SUM(I129:I134)</f>
        <v>#N/A</v>
      </c>
      <c r="AF123" t="e">
        <f t="shared" si="45"/>
        <v>#N/A</v>
      </c>
      <c r="AG123">
        <v>0.5</v>
      </c>
    </row>
    <row r="124" spans="1:34" x14ac:dyDescent="0.25">
      <c r="A124" t="e">
        <f t="shared" si="42"/>
        <v>#N/A</v>
      </c>
      <c r="B124">
        <f>Vergleich!C65</f>
        <v>0</v>
      </c>
      <c r="C124" t="e">
        <f>MATCH(B124,Tippspiel!$C$7:$C$13,0)</f>
        <v>#N/A</v>
      </c>
      <c r="G124" s="172"/>
      <c r="H124" s="173"/>
      <c r="I124" s="173"/>
      <c r="J124" s="173"/>
      <c r="K124" s="173"/>
      <c r="L124" s="173"/>
      <c r="M124" s="173"/>
      <c r="P124" s="172"/>
      <c r="Q124" s="173"/>
      <c r="R124" s="173"/>
      <c r="S124" s="173"/>
      <c r="T124" s="173"/>
      <c r="U124" s="173"/>
      <c r="V124" s="173"/>
      <c r="Y124" t="e">
        <f t="shared" si="46"/>
        <v>#N/A</v>
      </c>
      <c r="Z124" t="e">
        <f t="shared" si="43"/>
        <v>#N/A</v>
      </c>
      <c r="AA124" t="e">
        <f t="shared" si="44"/>
        <v>#N/A</v>
      </c>
      <c r="AB124">
        <f>IF(COUNT($H131:$M131)=COUNT(J129:J134),COUNT($H131:$M131),"")</f>
        <v>0</v>
      </c>
      <c r="AC124">
        <f t="shared" si="47"/>
        <v>0</v>
      </c>
      <c r="AD124" t="e">
        <f t="shared" si="48"/>
        <v>#N/A</v>
      </c>
      <c r="AE124" t="e">
        <f>SUM(J129:J134)</f>
        <v>#N/A</v>
      </c>
      <c r="AF124" t="e">
        <f t="shared" si="45"/>
        <v>#N/A</v>
      </c>
      <c r="AG124">
        <v>0.4</v>
      </c>
    </row>
    <row r="125" spans="1:34" x14ac:dyDescent="0.25">
      <c r="A125" t="e">
        <f t="shared" si="42"/>
        <v>#N/A</v>
      </c>
      <c r="B125">
        <f>Vergleich!C66</f>
        <v>0</v>
      </c>
      <c r="C125" t="e">
        <f>MATCH(B125,Tippspiel!$C$7:$C$13,0)</f>
        <v>#N/A</v>
      </c>
      <c r="G125" s="172"/>
      <c r="H125" s="173"/>
      <c r="I125" s="173"/>
      <c r="J125" s="173"/>
      <c r="K125" s="173"/>
      <c r="L125" s="173"/>
      <c r="M125" s="173"/>
      <c r="P125" s="172"/>
      <c r="Q125" s="173"/>
      <c r="R125" s="173"/>
      <c r="S125" s="173"/>
      <c r="T125" s="173"/>
      <c r="U125" s="173"/>
      <c r="V125" s="173"/>
      <c r="Y125" t="e">
        <f t="shared" si="46"/>
        <v>#N/A</v>
      </c>
      <c r="Z125" t="e">
        <f t="shared" si="43"/>
        <v>#N/A</v>
      </c>
      <c r="AA125" t="e">
        <f t="shared" si="44"/>
        <v>#N/A</v>
      </c>
      <c r="AB125">
        <f>IF(COUNT($H132:$M132)=COUNT(K129:K134),COUNT($H132:$M132),"")</f>
        <v>0</v>
      </c>
      <c r="AC125">
        <f t="shared" si="47"/>
        <v>0</v>
      </c>
      <c r="AD125" t="e">
        <f t="shared" si="48"/>
        <v>#N/A</v>
      </c>
      <c r="AE125" t="e">
        <f>SUM(K129:K134)</f>
        <v>#N/A</v>
      </c>
      <c r="AF125" t="e">
        <f t="shared" si="45"/>
        <v>#N/A</v>
      </c>
      <c r="AG125">
        <v>0.3</v>
      </c>
    </row>
    <row r="126" spans="1:34" x14ac:dyDescent="0.25">
      <c r="A126" t="e">
        <f t="shared" si="42"/>
        <v>#N/A</v>
      </c>
      <c r="B126">
        <f>Vergleich!C67</f>
        <v>0</v>
      </c>
      <c r="C126" t="e">
        <f>MATCH(B126,Tippspiel!$C$7:$C$13,0)</f>
        <v>#N/A</v>
      </c>
      <c r="G126" s="172"/>
      <c r="H126" s="173"/>
      <c r="I126" s="173"/>
      <c r="J126" s="173"/>
      <c r="K126" s="173"/>
      <c r="L126" s="173"/>
      <c r="M126" s="173"/>
      <c r="P126" s="172"/>
      <c r="Q126" s="173"/>
      <c r="R126" s="173"/>
      <c r="S126" s="173"/>
      <c r="T126" s="173"/>
      <c r="U126" s="173"/>
      <c r="V126" s="173"/>
      <c r="Y126" t="e">
        <f t="shared" si="46"/>
        <v>#N/A</v>
      </c>
      <c r="Z126" t="e">
        <f t="shared" si="43"/>
        <v>#N/A</v>
      </c>
      <c r="AA126" t="e">
        <f t="shared" si="44"/>
        <v>#N/A</v>
      </c>
      <c r="AB126">
        <f>IF(COUNT($H133:$M133)=COUNT(L129:L134),COUNT($H133:$M133),"")</f>
        <v>0</v>
      </c>
      <c r="AC126">
        <f t="shared" si="47"/>
        <v>0</v>
      </c>
      <c r="AD126" t="e">
        <f t="shared" si="48"/>
        <v>#N/A</v>
      </c>
      <c r="AE126" t="e">
        <f>SUM(L129:L134)</f>
        <v>#N/A</v>
      </c>
      <c r="AF126" t="e">
        <f t="shared" si="45"/>
        <v>#N/A</v>
      </c>
      <c r="AG126">
        <v>0.2</v>
      </c>
    </row>
    <row r="127" spans="1:34" x14ac:dyDescent="0.25">
      <c r="G127" s="172"/>
      <c r="H127" s="173"/>
      <c r="I127" s="173"/>
      <c r="J127" s="173"/>
      <c r="K127" s="173"/>
      <c r="L127" s="173"/>
      <c r="M127" s="173"/>
      <c r="P127" s="172"/>
      <c r="Q127" s="173"/>
      <c r="R127" s="173"/>
      <c r="S127" s="173"/>
      <c r="T127" s="173"/>
      <c r="U127" s="173"/>
      <c r="V127" s="173"/>
      <c r="Y127" t="e">
        <f t="shared" si="46"/>
        <v>#N/A</v>
      </c>
      <c r="Z127" t="e">
        <f t="shared" si="43"/>
        <v>#N/A</v>
      </c>
      <c r="AA127" t="e">
        <f t="shared" si="44"/>
        <v>#N/A</v>
      </c>
      <c r="AB127">
        <f>IF(COUNT($H134:$M134)=COUNT(M129:M134),COUNT($H134:$M134),"")</f>
        <v>0</v>
      </c>
      <c r="AC127">
        <f t="shared" si="47"/>
        <v>0</v>
      </c>
      <c r="AD127" t="e">
        <f t="shared" si="48"/>
        <v>#N/A</v>
      </c>
      <c r="AE127" t="e">
        <f>SUM(M129:M134)</f>
        <v>#N/A</v>
      </c>
      <c r="AF127" t="e">
        <f t="shared" si="45"/>
        <v>#N/A</v>
      </c>
      <c r="AG127">
        <v>0.1</v>
      </c>
    </row>
    <row r="128" spans="1:34" x14ac:dyDescent="0.25">
      <c r="A128">
        <v>1</v>
      </c>
      <c r="B128" t="e">
        <f>VLOOKUP(A128,$A$121:$C$126,2,FALSE)</f>
        <v>#N/A</v>
      </c>
      <c r="G128" s="172"/>
      <c r="H128" s="173"/>
      <c r="I128" s="173"/>
      <c r="J128" s="173"/>
      <c r="K128" s="173"/>
      <c r="L128" s="173"/>
      <c r="M128" s="173"/>
      <c r="P128" s="172"/>
      <c r="Q128" s="173"/>
      <c r="R128" s="173"/>
      <c r="S128" s="173"/>
      <c r="T128" s="173"/>
      <c r="U128" s="173"/>
      <c r="V128" s="173"/>
    </row>
    <row r="129" spans="1:22" x14ac:dyDescent="0.25">
      <c r="A129">
        <v>2</v>
      </c>
      <c r="B129" t="e">
        <f t="shared" ref="B129:B133" si="49">VLOOKUP(A129,$A$121:$C$126,2,FALSE)</f>
        <v>#N/A</v>
      </c>
      <c r="G129" t="e">
        <f t="shared" ref="G129:G134" si="50">B128</f>
        <v>#N/A</v>
      </c>
      <c r="H129" s="5"/>
      <c r="I129" t="e">
        <f>VLOOKUP($G129&amp;I$121,$A$4:$E$24,4,FALSE)</f>
        <v>#N/A</v>
      </c>
      <c r="J129" t="e">
        <f t="shared" ref="J129:M132" si="51">VLOOKUP($G129&amp;J$121,$A$4:$E$24,4,FALSE)</f>
        <v>#N/A</v>
      </c>
      <c r="K129" t="e">
        <f t="shared" si="51"/>
        <v>#N/A</v>
      </c>
      <c r="L129" t="e">
        <f t="shared" si="51"/>
        <v>#N/A</v>
      </c>
      <c r="M129" t="e">
        <f t="shared" si="51"/>
        <v>#N/A</v>
      </c>
      <c r="P129" t="e">
        <f t="shared" ref="P129:P134" si="52">G129</f>
        <v>#N/A</v>
      </c>
      <c r="Q129" s="5"/>
      <c r="R129" t="str">
        <f>IF(AND(ISNUMBER(I129),ISNUMBER(H130)),IF(I129&gt;H130,3,IF(I129&lt;H130,0,1)),"")</f>
        <v/>
      </c>
      <c r="S129" t="str">
        <f>IF(AND(ISNUMBER(J129),ISNUMBER(H131)),IF(J129&gt;H131,3,IF(J129&lt;H131,0,1)),"")</f>
        <v/>
      </c>
      <c r="T129" t="str">
        <f>IF(AND(ISNUMBER(K129),ISNUMBER(H132)),IF(K129&gt;H132,3,IF(K129&lt;H132,0,1)),"")</f>
        <v/>
      </c>
      <c r="U129" t="str">
        <f>IF(AND(ISNUMBER(L129),ISNUMBER(H133)),IF(L129&gt;H133,3,IF(L129&lt;H133,0,1)),"")</f>
        <v/>
      </c>
      <c r="V129" t="str">
        <f>IF(AND(ISNUMBER(M129),ISNUMBER(H134)),IF(M129&gt;H134,3,IF(M129&lt;H134,0,1)),"")</f>
        <v/>
      </c>
    </row>
    <row r="130" spans="1:22" x14ac:dyDescent="0.25">
      <c r="A130">
        <v>3</v>
      </c>
      <c r="B130" t="e">
        <f t="shared" si="49"/>
        <v>#N/A</v>
      </c>
      <c r="G130" t="e">
        <f t="shared" si="50"/>
        <v>#N/A</v>
      </c>
      <c r="H130" t="e">
        <f>VLOOKUP(H$121&amp;$G130,$A$4:$E$24,5,FALSE)</f>
        <v>#N/A</v>
      </c>
      <c r="I130" s="5"/>
      <c r="J130" t="e">
        <f t="shared" si="51"/>
        <v>#N/A</v>
      </c>
      <c r="K130" t="e">
        <f t="shared" si="51"/>
        <v>#N/A</v>
      </c>
      <c r="L130" t="e">
        <f t="shared" si="51"/>
        <v>#N/A</v>
      </c>
      <c r="M130" t="e">
        <f t="shared" si="51"/>
        <v>#N/A</v>
      </c>
      <c r="P130" t="e">
        <f t="shared" si="52"/>
        <v>#N/A</v>
      </c>
      <c r="Q130" t="str">
        <f>IF(AND(ISNUMBER(H130),ISNUMBER(I129)),IF(H130&gt;I129,3,IF(H130&lt;I129,0,1)),"")</f>
        <v/>
      </c>
      <c r="R130" s="5"/>
      <c r="S130" t="str">
        <f>IF(AND(ISNUMBER(J130),ISNUMBER(I131)),IF(J130&gt;I131,3,IF(J130&lt;I131,0,1)),"")</f>
        <v/>
      </c>
      <c r="T130" t="str">
        <f>IF(AND(ISNUMBER(K130),ISNUMBER(I132)),IF(K130&gt;I132,3,IF(K130&lt;I132,0,1)),"")</f>
        <v/>
      </c>
      <c r="U130" t="str">
        <f>IF(AND(ISNUMBER(L130),ISNUMBER(I133)),IF(L130&gt;I133,3,IF(L130&lt;I133,0,1)),"")</f>
        <v/>
      </c>
      <c r="V130" t="str">
        <f>IF(AND(ISNUMBER(M130),ISNUMBER(I134)),IF(M130&gt;I134,3,IF(M130&lt;I134,0,1)),"")</f>
        <v/>
      </c>
    </row>
    <row r="131" spans="1:22" x14ac:dyDescent="0.25">
      <c r="A131">
        <v>4</v>
      </c>
      <c r="B131" t="e">
        <f t="shared" si="49"/>
        <v>#N/A</v>
      </c>
      <c r="G131" t="e">
        <f t="shared" si="50"/>
        <v>#N/A</v>
      </c>
      <c r="H131" t="e">
        <f t="shared" ref="H131:L134" si="53">VLOOKUP(H$121&amp;$G131,$A$4:$E$24,5,FALSE)</f>
        <v>#N/A</v>
      </c>
      <c r="I131" t="e">
        <f t="shared" si="53"/>
        <v>#N/A</v>
      </c>
      <c r="J131" s="5"/>
      <c r="K131" t="e">
        <f t="shared" si="51"/>
        <v>#N/A</v>
      </c>
      <c r="L131" t="e">
        <f t="shared" si="51"/>
        <v>#N/A</v>
      </c>
      <c r="M131" t="e">
        <f t="shared" si="51"/>
        <v>#N/A</v>
      </c>
      <c r="P131" t="e">
        <f t="shared" si="52"/>
        <v>#N/A</v>
      </c>
      <c r="Q131" t="str">
        <f>IF(AND(ISNUMBER(H131),ISNUMBER(J129)),IF(H131&gt;J129,3,IF(H131&lt;J129,0,1)),"")</f>
        <v/>
      </c>
      <c r="R131" t="str">
        <f>IF(AND(ISNUMBER(I131),ISNUMBER(J130)),IF(I131&gt;J130,3,IF(I131&lt;J130,0,1)),"")</f>
        <v/>
      </c>
      <c r="S131" s="5"/>
      <c r="T131" t="str">
        <f>IF(AND(ISNUMBER(K131),ISNUMBER(J132)),IF(K131&gt;J132,3,IF(K131&lt;J132,0,1)),"")</f>
        <v/>
      </c>
      <c r="U131" t="str">
        <f>IF(AND(ISNUMBER(L131),ISNUMBER(J133)),IF(L131&gt;J133,3,IF(L131&lt;J133,0,1)),"")</f>
        <v/>
      </c>
      <c r="V131" t="str">
        <f>IF(AND(ISNUMBER(M131),ISNUMBER(J134)),IF(M131&gt;J134,3,IF(M131&lt;J134,0,1)),"")</f>
        <v/>
      </c>
    </row>
    <row r="132" spans="1:22" x14ac:dyDescent="0.25">
      <c r="A132">
        <v>5</v>
      </c>
      <c r="B132" t="e">
        <f t="shared" si="49"/>
        <v>#N/A</v>
      </c>
      <c r="G132" t="e">
        <f t="shared" si="50"/>
        <v>#N/A</v>
      </c>
      <c r="H132" t="e">
        <f t="shared" si="53"/>
        <v>#N/A</v>
      </c>
      <c r="I132" t="e">
        <f t="shared" si="53"/>
        <v>#N/A</v>
      </c>
      <c r="J132" t="e">
        <f t="shared" si="53"/>
        <v>#N/A</v>
      </c>
      <c r="K132" s="5"/>
      <c r="L132" t="e">
        <f t="shared" si="51"/>
        <v>#N/A</v>
      </c>
      <c r="M132" t="e">
        <f t="shared" si="51"/>
        <v>#N/A</v>
      </c>
      <c r="P132" t="e">
        <f t="shared" si="52"/>
        <v>#N/A</v>
      </c>
      <c r="Q132" t="str">
        <f>IF(AND(ISNUMBER(H132),ISNUMBER(K129)),IF(H132&gt;K129,3,IF(H132&lt;K129,0,1)),"")</f>
        <v/>
      </c>
      <c r="R132" t="str">
        <f>IF(AND(ISNUMBER(I132),ISNUMBER(K130)),IF(I132&gt;K130,3,IF(I132&lt;K130,0,1)),"")</f>
        <v/>
      </c>
      <c r="S132" t="str">
        <f>IF(AND(ISNUMBER(J132),ISNUMBER(K131)),IF(J132&gt;K131,3,IF(J132&lt;K131,0,1)),"")</f>
        <v/>
      </c>
      <c r="T132" s="5"/>
      <c r="U132" t="str">
        <f>IF(AND(ISNUMBER(L132),ISNUMBER(K133)),IF(L132&gt;K133,3,IF(L132&lt;K133,0,1)),"")</f>
        <v/>
      </c>
      <c r="V132" t="str">
        <f>IF(AND(ISNUMBER(M132),ISNUMBER(K134)),IF(M132&gt;K134,3,IF(M132&lt;K134,0,1)),"")</f>
        <v/>
      </c>
    </row>
    <row r="133" spans="1:22" x14ac:dyDescent="0.25">
      <c r="A133">
        <v>6</v>
      </c>
      <c r="B133" t="e">
        <f t="shared" si="49"/>
        <v>#N/A</v>
      </c>
      <c r="G133" t="e">
        <f t="shared" si="50"/>
        <v>#N/A</v>
      </c>
      <c r="H133" t="e">
        <f t="shared" si="53"/>
        <v>#N/A</v>
      </c>
      <c r="I133" t="e">
        <f t="shared" si="53"/>
        <v>#N/A</v>
      </c>
      <c r="J133" t="e">
        <f t="shared" si="53"/>
        <v>#N/A</v>
      </c>
      <c r="K133" t="e">
        <f t="shared" si="53"/>
        <v>#N/A</v>
      </c>
      <c r="L133" s="5"/>
      <c r="M133" t="e">
        <f>VLOOKUP($G133&amp;M$121,$A$4:$E$24,4,FALSE)</f>
        <v>#N/A</v>
      </c>
      <c r="P133" t="e">
        <f t="shared" si="52"/>
        <v>#N/A</v>
      </c>
      <c r="Q133" t="str">
        <f>IF(AND(ISNUMBER(H133),ISNUMBER(L129)),IF(H133&gt;L129,3,IF(H133&lt;L129,0,1)),"")</f>
        <v/>
      </c>
      <c r="R133" t="str">
        <f>IF(AND(ISNUMBER(I133),ISNUMBER(L130)),IF(I133&gt;L130,3,IF(I133&lt;L130,0,1)),"")</f>
        <v/>
      </c>
      <c r="S133" t="str">
        <f>IF(AND(ISNUMBER(J133),ISNUMBER(L131)),IF(J133&gt;L131,3,IF(J133&lt;L131,0,1)),"")</f>
        <v/>
      </c>
      <c r="T133" t="str">
        <f>IF(AND(ISNUMBER(K133),ISNUMBER(L132)),IF(K133&gt;L132,3,IF(K133&lt;L132,0,1)),"")</f>
        <v/>
      </c>
      <c r="U133" s="5"/>
      <c r="V133" t="str">
        <f>IF(AND(ISNUMBER(M133),ISNUMBER(L134)),IF(M133&gt;L134,3,IF(M133&lt;L134,0,1)),"")</f>
        <v/>
      </c>
    </row>
    <row r="134" spans="1:22" x14ac:dyDescent="0.25">
      <c r="G134" t="e">
        <f t="shared" si="50"/>
        <v>#N/A</v>
      </c>
      <c r="H134" t="e">
        <f t="shared" si="53"/>
        <v>#N/A</v>
      </c>
      <c r="I134" t="e">
        <f t="shared" si="53"/>
        <v>#N/A</v>
      </c>
      <c r="J134" t="e">
        <f t="shared" si="53"/>
        <v>#N/A</v>
      </c>
      <c r="K134" t="e">
        <f t="shared" si="53"/>
        <v>#N/A</v>
      </c>
      <c r="L134" t="e">
        <f t="shared" si="53"/>
        <v>#N/A</v>
      </c>
      <c r="M134" s="5"/>
      <c r="P134" t="e">
        <f t="shared" si="52"/>
        <v>#N/A</v>
      </c>
      <c r="Q134" t="str">
        <f>IF(AND(ISNUMBER(H134),ISNUMBER(M129)),IF(H134&gt;M129,3,IF(H134&lt;M129,0,1)),"")</f>
        <v/>
      </c>
      <c r="R134" t="str">
        <f>IF(AND(ISNUMBER(I134),ISNUMBER(M130)),IF(I134&gt;M130,3,IF(I134&lt;M130,0,1)),"")</f>
        <v/>
      </c>
      <c r="S134" t="str">
        <f>IF(AND(ISNUMBER(J134),ISNUMBER(M131)),IF(J134&gt;M131,3,IF(J134&lt;M131,0,1)),"")</f>
        <v/>
      </c>
      <c r="T134" t="str">
        <f>IF(AND(ISNUMBER(K134),ISNUMBER(M132)),IF(K134&gt;M132,3,IF(K134&lt;M132,0,1)),"")</f>
        <v/>
      </c>
      <c r="U134" t="str">
        <f>IF(AND(ISNUMBER(L134),ISNUMBER(M133)),IF(L134&gt;M133,3,IF(L134&lt;M133,0,1)),"")</f>
        <v/>
      </c>
      <c r="V134" s="5"/>
    </row>
  </sheetData>
  <mergeCells count="83">
    <mergeCell ref="A117:AH117"/>
    <mergeCell ref="T121:T128"/>
    <mergeCell ref="U121:U128"/>
    <mergeCell ref="V121:V128"/>
    <mergeCell ref="L121:L128"/>
    <mergeCell ref="M121:M128"/>
    <mergeCell ref="P121:P128"/>
    <mergeCell ref="Q121:Q128"/>
    <mergeCell ref="R121:R128"/>
    <mergeCell ref="S121:S128"/>
    <mergeCell ref="G121:G128"/>
    <mergeCell ref="H121:H128"/>
    <mergeCell ref="I121:I128"/>
    <mergeCell ref="J121:J128"/>
    <mergeCell ref="K121:K128"/>
    <mergeCell ref="A97:AH97"/>
    <mergeCell ref="G101:G108"/>
    <mergeCell ref="H101:H108"/>
    <mergeCell ref="I101:I108"/>
    <mergeCell ref="J101:J108"/>
    <mergeCell ref="K101:K108"/>
    <mergeCell ref="L101:L108"/>
    <mergeCell ref="P101:P108"/>
    <mergeCell ref="Q101:Q108"/>
    <mergeCell ref="R101:R108"/>
    <mergeCell ref="S101:S108"/>
    <mergeCell ref="T101:T108"/>
    <mergeCell ref="U101:U108"/>
    <mergeCell ref="A78:AH78"/>
    <mergeCell ref="G82:G89"/>
    <mergeCell ref="H82:H89"/>
    <mergeCell ref="I82:I89"/>
    <mergeCell ref="J82:J89"/>
    <mergeCell ref="K82:K89"/>
    <mergeCell ref="P82:P89"/>
    <mergeCell ref="Q82:Q89"/>
    <mergeCell ref="R82:R89"/>
    <mergeCell ref="S82:S89"/>
    <mergeCell ref="T82:T89"/>
    <mergeCell ref="R47:R54"/>
    <mergeCell ref="A60:AH60"/>
    <mergeCell ref="G64:G71"/>
    <mergeCell ref="H64:H71"/>
    <mergeCell ref="I64:I71"/>
    <mergeCell ref="J64:J71"/>
    <mergeCell ref="P64:P71"/>
    <mergeCell ref="Q64:Q71"/>
    <mergeCell ref="R64:R71"/>
    <mergeCell ref="S64:S71"/>
    <mergeCell ref="G47:G54"/>
    <mergeCell ref="H47:H54"/>
    <mergeCell ref="I47:I54"/>
    <mergeCell ref="P47:P54"/>
    <mergeCell ref="Q47:Q54"/>
    <mergeCell ref="T4:T11"/>
    <mergeCell ref="U4:U11"/>
    <mergeCell ref="S29:S36"/>
    <mergeCell ref="A42:AH42"/>
    <mergeCell ref="A43:AH43"/>
    <mergeCell ref="A27:AH27"/>
    <mergeCell ref="G29:G36"/>
    <mergeCell ref="H29:H36"/>
    <mergeCell ref="I29:I36"/>
    <mergeCell ref="J29:J36"/>
    <mergeCell ref="P29:P36"/>
    <mergeCell ref="Q29:Q36"/>
    <mergeCell ref="R29:R36"/>
    <mergeCell ref="A2:AH2"/>
    <mergeCell ref="D3:E3"/>
    <mergeCell ref="G4:G11"/>
    <mergeCell ref="H4:H11"/>
    <mergeCell ref="I4:I11"/>
    <mergeCell ref="J4:J11"/>
    <mergeCell ref="K4:K11"/>
    <mergeCell ref="L4:L11"/>
    <mergeCell ref="M4:M11"/>
    <mergeCell ref="N4:N11"/>
    <mergeCell ref="V4:V11"/>
    <mergeCell ref="W4:W11"/>
    <mergeCell ref="P4:P11"/>
    <mergeCell ref="Q4:Q11"/>
    <mergeCell ref="R4:R11"/>
    <mergeCell ref="S4:S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2</vt:i4>
      </vt:variant>
    </vt:vector>
  </HeadingPairs>
  <TitlesOfParts>
    <vt:vector size="9" baseType="lpstr">
      <vt:lpstr>Erklärung</vt:lpstr>
      <vt:lpstr>Tippspiel</vt:lpstr>
      <vt:lpstr>Spielplan</vt:lpstr>
      <vt:lpstr>Vergleich</vt:lpstr>
      <vt:lpstr>Auswertung</vt:lpstr>
      <vt:lpstr>Rechner</vt:lpstr>
      <vt:lpstr>Tippspiel_Rechner</vt:lpstr>
      <vt:lpstr>Spielplan!Druckbereich</vt:lpstr>
      <vt:lpstr>Tippspiel!Druckbereich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Gross</dc:creator>
  <cp:lastModifiedBy>Philipp Gross</cp:lastModifiedBy>
  <cp:lastPrinted>2025-06-16T20:40:17Z</cp:lastPrinted>
  <dcterms:created xsi:type="dcterms:W3CDTF">2025-05-28T21:47:51Z</dcterms:created>
  <dcterms:modified xsi:type="dcterms:W3CDTF">2025-06-16T20:40:25Z</dcterms:modified>
</cp:coreProperties>
</file>