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3.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_rels/sheet10.xml.rels" ContentType="application/vnd.openxmlformats-package.relationships+xml"/>
  <Override PartName="/xl/worksheets/_rels/sheet6.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9.xml.rels" ContentType="application/vnd.openxmlformats-package.relationships+xml"/>
  <Override PartName="/xl/drawings/_rels/drawing8.xml.rels" ContentType="application/vnd.openxmlformats-package.relationships+xml"/>
  <Override PartName="/xl/drawings/_rels/drawing7.xml.rels" ContentType="application/vnd.openxmlformats-package.relationships+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_rels/workbook.xml.rels" ContentType="application/vnd.openxmlformats-package.relationships+xml"/>
  <Override PartName="/xl/media/image13.png" ContentType="image/png"/>
  <Override PartName="/xl/media/image4.png" ContentType="image/png"/>
  <Override PartName="/xl/media/image9.png" ContentType="image/png"/>
  <Override PartName="/xl/media/image14.png" ContentType="image/png"/>
  <Override PartName="/xl/media/image5.png" ContentType="image/png"/>
  <Override PartName="/xl/media/image15.png" ContentType="image/png"/>
  <Override PartName="/xl/media/image6.png" ContentType="image/png"/>
  <Override PartName="/xl/media/image10.png" ContentType="image/png"/>
  <Override PartName="/xl/media/image1.png" ContentType="image/png"/>
  <Override PartName="/xl/media/image16.png" ContentType="image/png"/>
  <Override PartName="/xl/media/image7.png" ContentType="image/png"/>
  <Override PartName="/xl/media/image11.png" ContentType="image/png"/>
  <Override PartName="/xl/media/image2.png" ContentType="image/png"/>
  <Override PartName="/xl/media/image17.png" ContentType="image/png"/>
  <Override PartName="/xl/media/image8.png" ContentType="image/png"/>
  <Override PartName="/xl/media/image12.png" ContentType="image/png"/>
  <Override PartName="/xl/media/image3.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ecision" sheetId="2" state="visible" r:id="rId4"/>
    <sheet name="Dashboard" sheetId="3" state="visible" r:id="rId5"/>
    <sheet name="Settings" sheetId="4" state="visible" r:id="rId6"/>
    <sheet name="Climate" sheetId="5" state="visible" r:id="rId7"/>
    <sheet name="Crops" sheetId="6" state="visible" r:id="rId8"/>
    <sheet name="Soils" sheetId="7" state="visible" r:id="rId9"/>
    <sheet name="Fertilizers" sheetId="8" state="visible" r:id="rId10"/>
    <sheet name="Calendar" sheetId="9" state="visible" r:id="rId11"/>
    <sheet name="Simulator" sheetId="10" state="visible" r:id="rId12"/>
    <sheet name="Plots" sheetId="11" state="visible" r:id="rId13"/>
    <sheet name="Rotation" sheetId="12" state="visible" r:id="rId14"/>
    <sheet name="ActivityLog" sheetId="13" state="visible" r:id="rId15"/>
    <sheet name="Reference" sheetId="14" state="visible" r:id="rId16"/>
  </sheets>
  <definedNames>
    <definedName function="false" hidden="false" localSheetId="12" name="_xlnm.Print_Area" vbProcedure="false">ActivityLog!$A$1:$I$34</definedName>
    <definedName function="false" hidden="false" localSheetId="8" name="_xlnm.Print_Area" vbProcedure="false">Calendar!$A$1:$DG$95</definedName>
    <definedName function="false" hidden="false" localSheetId="4" name="_xlnm.Print_Area" vbProcedure="false">Climate!$A$1:$AC$112</definedName>
    <definedName function="false" hidden="false" localSheetId="5" name="_xlnm.Print_Area" vbProcedure="false">Crops!$A$1:$R$119</definedName>
    <definedName function="false" hidden="false" localSheetId="1" name="_xlnm.Print_Area" vbProcedure="false">Decision!$A$1:$O$151</definedName>
    <definedName function="false" hidden="false" localSheetId="7" name="_xlnm.Print_Area" vbProcedure="false">Fertilizers!$A$1:$T$89</definedName>
    <definedName function="false" hidden="false" localSheetId="10" name="_xlnm.Print_Area" vbProcedure="false">Plots!$A$1:$AC$27</definedName>
    <definedName function="false" hidden="false" localSheetId="0" name="_xlnm.Print_Area" vbProcedure="false">README!$A$1:$G$46</definedName>
    <definedName function="false" hidden="false" localSheetId="13" name="_xlnm.Print_Area" vbProcedure="false">Reference!$A$1:$D$86</definedName>
    <definedName function="false" hidden="false" localSheetId="11" name="_xlnm.Print_Area" vbProcedure="false">Rotation!$A$1:$I$23</definedName>
    <definedName function="false" hidden="false" localSheetId="3" name="_xlnm.Print_Area" vbProcedure="false">Settings!$A$1:$E$56</definedName>
    <definedName function="false" hidden="false" localSheetId="9" name="_xlnm.Print_Area" vbProcedure="false">Simulator!$A$1:$O$91</definedName>
    <definedName function="false" hidden="false" localSheetId="6" name="_xlnm.Print_Area" vbProcedure="false">Soils!$A$1:$F$38</definedName>
    <definedName function="false" hidden="false" name="ClimateRows" vbProcedure="false">Settings!$C$57</definedName>
    <definedName function="false" hidden="false" name="CropNames" vbProcedure="false">Crops!$B$5:$B$22</definedName>
    <definedName function="false" hidden="false" name="CurrentDay" vbProcedure="false">Settings!$C$55</definedName>
    <definedName function="false" hidden="false" name="DaysPerMonth" vbProcedure="false">Settings!$C$6</definedName>
    <definedName function="false" hidden="false" name="DaysPerYear" vbProcedure="false">Settings!$C$9</definedName>
    <definedName function="false" hidden="false" name="DefaultCold" vbProcedure="false">Settings!$C$29</definedName>
    <definedName function="false" hidden="false" name="DefaultHeat" vbProcedure="false">Settings!$C$30</definedName>
    <definedName function="false" hidden="false" name="DefaultRipeMul" vbProcedure="false">Settings!$C$31</definedName>
    <definedName function="false" hidden="false" name="DefaultStuntMul" vbProcedure="false">Settings!$C$32</definedName>
    <definedName function="false" hidden="false" name="FertCap" vbProcedure="false">Settings!$C$24</definedName>
    <definedName function="false" hidden="false" name="GHBonus" vbProcedure="false">Settings!$C$42</definedName>
    <definedName function="false" hidden="false" name="GlobalGH" vbProcedure="false">Settings!$C$43</definedName>
    <definedName function="false" hidden="false" name="GrowthMul" vbProcedure="false">Settings!$C$15</definedName>
    <definedName function="false" hidden="false" name="HasPerk" vbProcedure="false">Settings!$C$45</definedName>
    <definedName function="false" hidden="false" name="HoursPerDay" vbProcedure="false">Settings!$C$8</definedName>
    <definedName function="false" hidden="false" name="Moisture" vbProcedure="false">Settings!$C$35</definedName>
    <definedName function="false" hidden="false" name="MonthsPerYear" vbProcedure="false">Settings!$C$7</definedName>
    <definedName function="false" hidden="false" name="PerkPct" vbProcedure="false">Settings!$C$46</definedName>
    <definedName function="false" hidden="false" name="RANK_TOP10" vbProcedure="false">Decision!$L$49</definedName>
    <definedName function="false" hidden="false" name="RANK_TOP3" vbProcedure="false">Decision!$L$48</definedName>
    <definedName function="false" hidden="false" name="SeasonEndDay" vbProcedure="false">Climate!$M$2</definedName>
    <definedName function="false" hidden="false" name="TempLoss" vbProcedure="false">Settings!$C$19</definedName>
    <definedName function="false" hidden="false" name="TempThresh" vbProcedure="false">Settings!$C$18</definedName>
    <definedName function="false" hidden="false" name="TickMean" vbProcedure="false">Settings!$C$12</definedName>
    <definedName function="false" hidden="false" name="TicksPerDay" vbProcedure="false">Settings!$C$13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<sst xmlns="http://schemas.openxmlformats.org/spreadsheetml/2006/main" count="925" uniqueCount="752">
  <si>
    <t xml:space="preserve">Vintage Story Farming Dashboard</t>
  </si>
  <si>
    <t xml:space="preserve">Built for Vintage Story 1.22.1 stable + Specialized Classes 2.2.2 (specializedclasses)</t>
  </si>
  <si>
    <t xml:space="preserve">What this is</t>
  </si>
  <si>
    <t xml:space="preserve">A planning workbook for Vintage Story farming. The web app at https://garrethcline.github.io/vs-farming/ is the primary tool. This workbook is the math primer where the formulas were worked out before they got pushed into the React code. If you just want to plan a season, use the web app. If you want to read or audit the math cell-by-cell, this is where to look.</t>
  </si>
  <si>
    <t xml:space="preserve">Color legend (cell text colors)</t>
  </si>
  <si>
    <t xml:space="preserve">Blue text</t>
  </si>
  <si>
    <t xml:space="preserve">Hardcoded input. Change these to match your situation.</t>
  </si>
  <si>
    <t xml:space="preserve">Black text</t>
  </si>
  <si>
    <t xml:space="preserve">Computed by formula. Don't edit, it'll recompute when inputs change.</t>
  </si>
  <si>
    <t xml:space="preserve">Green text</t>
  </si>
  <si>
    <t xml:space="preserve">Pulled from another sheet (a cross-sheet link).</t>
  </si>
  <si>
    <t xml:space="preserve">Yellow fill</t>
  </si>
  <si>
    <t xml:space="preserve">Key assumption you might want to override (input cells).</t>
  </si>
  <si>
    <t xml:space="preserve">Red text</t>
  </si>
  <si>
    <t xml:space="preserve">Warning or critical info.</t>
  </si>
  <si>
    <t xml:space="preserve">⚠  Versions and mod compatibility</t>
  </si>
  <si>
    <t xml:space="preserve">Built for Vintage Story 1.22.1 stable (released 29 April 2026). Supports one optional mod: Specialized Classes 2.2.2, mod identifier "specializedclasses", file SpecializedClasses.dll v2.2.2, built for VS 1.22.x. On the Settings tab, set "Has Farmhand fertilizer perk?" to TRUE if you have the mod and have taken the Farmhand class. Set to FALSE for vanilla. See SPEC.md §9 for the full perk math (decompiled from IL) and §15 for the underground farming bug status (still present in 1.22.1).</t>
  </si>
  <si>
    <t xml:space="preserve">Sheet index</t>
  </si>
  <si>
    <t xml:space="preserve">Settings</t>
  </si>
  <si>
    <t xml:space="preserve">Global config: server constants, climate, growth/damage rules. DaysPerMonth, DaysPerYear, and ClimateRows are named ranges. Most date arithmetic on other sheets pulls from them, so changing DaysPerMonth scales the year wraps. The Climate sheet itself stays at 108 rows; for a different DaysPerMonth, regenerate climate.csv.</t>
  </si>
  <si>
    <t xml:space="preserve">Climate</t>
  </si>
  <si>
    <t xml:space="preserve">108-day temperature curve from your /debug exptempplot CSV. Drives the calendar and simulator.</t>
  </si>
  <si>
    <t xml:space="preserve">Crops</t>
  </si>
  <si>
    <t xml:space="preserve">All 18 plantable crops with JSON-verified params. Source data; don't edit unless game updates.</t>
  </si>
  <si>
    <t xml:space="preserve">Soils</t>
  </si>
  <si>
    <t xml:space="preserve">5 soil tiers (poor / medium / compost / dirt / terra preta). Fertility values per tier.</t>
  </si>
  <si>
    <t xml:space="preserve">Fertilizers</t>
  </si>
  <si>
    <t xml:space="preserve">NPK table + interactive [MOD] Specialized Classes 'Fertilizer' perk calculator.</t>
  </si>
  <si>
    <t xml:space="preserve">Calendar</t>
  </si>
  <si>
    <t xml:space="preserve">Plantability heatmap across the full year. Toggle greenhouse on/off to compare.</t>
  </si>
  <si>
    <t xml:space="preserve">Simulator</t>
  </si>
  <si>
    <t xml:space="preserve">Pick a crop, plant day, soil tier. See full mechanics: stage time, damage flags, yield mul.</t>
  </si>
  <si>
    <t xml:space="preserve">Plots</t>
  </si>
  <si>
    <t xml:space="preserve">Track your active farm plots. Auto-computes harvest day, days remaining, status.</t>
  </si>
  <si>
    <t xml:space="preserve">Rotation</t>
  </si>
  <si>
    <t xml:space="preserve">N/P/K rotation history per plot. Suggests what to plant next.</t>
  </si>
  <si>
    <t xml:space="preserve">ActivityLog</t>
  </si>
  <si>
    <t xml:space="preserve">Append-only log of plant/harvest events for the season.</t>
  </si>
  <si>
    <t xml:space="preserve">Reference</t>
  </si>
  <si>
    <t xml:space="preserve">Glossary, key formulas explained, source citations.</t>
  </si>
  <si>
    <t xml:space="preserve">What lives in the app but not here</t>
  </si>
  <si>
    <t xml:space="preserve">rainfall + light/depth multipliers</t>
  </si>
  <si>
    <t xml:space="preserve">The web app Decision Helper multiplies a moisture factor (from biome rainfall) and a light/depth factor into grow speed. Those use Monte Carlo of the noise pipeline plus the formulas from BESoilNutrition.cs and BlockEntityFastForwardGrowth.cs. They are not in this spreadsheet yet; the app is the reference implementation.</t>
  </si>
  <si>
    <t xml:space="preserve">Quick start</t>
  </si>
  <si>
    <t xml:space="preserve">1. Go to Settings → confirm DaysPerMonth = 9 and your latitude/climate values.</t>
  </si>
  <si>
    <t xml:space="preserve">2. Visit Climate → temps are pre-loaded from your CSV. Chart shows yearly curve.</t>
  </si>
  <si>
    <t xml:space="preserve">3. Calendar → see which crops can be planted on which days.</t>
  </si>
  <si>
    <t xml:space="preserve">4. Simulator → try planting Rye on day 50: dropdown picks crop, predicts harvest.</t>
  </si>
  <si>
    <t xml:space="preserve">5. Plots → enter your real plots, set crop + plant day, status auto-updates.</t>
  </si>
  <si>
    <t xml:space="preserve">Sources of truth</t>
  </si>
  <si>
    <t xml:space="preserve">SPEC.md is the master reference. Derived from vssurvivalmod-master (VS 1.22.1) + survival/blocktypes/plant/crop/*.json + SpecializedClasses.dll v2.2.2 IL decompilation. Climate from your /debug exptempplot CSV.</t>
  </si>
  <si>
    <t xml:space="preserve">Google Sheets note</t>
  </si>
  <si>
    <t xml:space="preserve">All charts are now PNG images for cross-app compatibility. Live counts (e.g., plot status) are shown as KPI cells alongside the chart. If you change inputs in Simulator or Fertilizers, the chart shows the default-state snapshot. The formulas above the chart still update live.</t>
  </si>
  <si>
    <t xml:space="preserve">Decision Helper</t>
  </si>
  <si>
    <t xml:space="preserve">Just harvested? Pick your next crop with full season context.</t>
  </si>
  <si>
    <t xml:space="preserve">1  ·  Inputs</t>
  </si>
  <si>
    <t xml:space="preserve">Mode</t>
  </si>
  <si>
    <t xml:space="preserve">Standalone</t>
  </si>
  <si>
    <t xml:space="preserve">(Linked = pull data from a plot below)</t>
  </si>
  <si>
    <t xml:space="preserve">Plot ID</t>
  </si>
  <si>
    <t xml:space="preserve">P01</t>
  </si>
  <si>
    <t xml:space="preserve">(only used in Linked mode)</t>
  </si>
  <si>
    <t xml:space="preserve">Today (day#)</t>
  </si>
  <si>
    <t xml:space="preserve">(pulls from Settings; overwrite to test other days)</t>
  </si>
  <si>
    <t xml:space="preserve">Soil tier</t>
  </si>
  <si>
    <t xml:space="preserve">(Barren=5, Low=25, Med=50, Compost=65, Terra Preta=80)</t>
  </si>
  <si>
    <t xml:space="preserve">Greenhouse?</t>
  </si>
  <si>
    <t xml:space="preserve">(adds +5°C to all temperatures)</t>
  </si>
  <si>
    <t xml:space="preserve">[MOD] Has Farmhand fertilizer perk?</t>
  </si>
  <si>
    <t xml:space="preserve">[MOD: Specialized Classes - leave FALSE on vanilla] pulls from Settings</t>
  </si>
  <si>
    <t xml:space="preserve">Will fertilize at planting?</t>
  </si>
  <si>
    <t xml:space="preserve">(if TRUE, assumes you'll bring soil up to soil-tier before planting)</t>
  </si>
  <si>
    <t xml:space="preserve">Fertilizer to apply:</t>
  </si>
  <si>
    <t xml:space="preserve">None</t>
  </si>
  <si>
    <t xml:space="preserve">(only used if "Apply fertilizer at planting?" above is TRUE)</t>
  </si>
  <si>
    <t xml:space="preserve">Current N/P/K (post-harvest):</t>
  </si>
  <si>
    <t xml:space="preserve">N</t>
  </si>
  <si>
    <t xml:space="preserve">P</t>
  </si>
  <si>
    <t xml:space="preserve">K</t>
  </si>
  <si>
    <t xml:space="preserve">(0 to 100 each axis; defaults assume fertilized = soil tier; unfertilized = half soil tier)</t>
  </si>
  <si>
    <t xml:space="preserve">Slow-release pool:</t>
  </si>
  <si>
    <t xml:space="preserve">(0 to 150 each axis; check in-game F3 for 'Active fertilizer +X% N' display)</t>
  </si>
  <si>
    <t xml:space="preserve">2  ·  Today's conditions</t>
  </si>
  <si>
    <t xml:space="preserve">Today is:</t>
  </si>
  <si>
    <t xml:space="preserve">Temperature today:</t>
  </si>
  <si>
    <t xml:space="preserve">(varies through the day. Game uses tick temperature for damage)</t>
  </si>
  <si>
    <t xml:space="preserve">Growing days left:</t>
  </si>
  <si>
    <t xml:space="preserve">Lowest nutrient:</t>
  </si>
  <si>
    <t xml:space="preserve">Verdict:</t>
  </si>
  <si>
    <t xml:space="preserve">3  ·  Crop ranking. All 18 crops scored for your situation</t>
  </si>
  <si>
    <t xml:space="preserve">Crop</t>
  </si>
  <si>
    <t xml:space="preserve">Grow days</t>
  </si>
  <si>
    <t xml:space="preserve">Plant→Harvest</t>
  </si>
  <si>
    <t xml:space="preserve">Days after</t>
  </si>
  <si>
    <t xml:space="preserve">Window min</t>
  </si>
  <si>
    <t xml:space="preserve">Window max</t>
  </si>
  <si>
    <t xml:space="preserve">Cold/heat?</t>
  </si>
  <si>
    <t xml:space="preserve">Frost OK?</t>
  </si>
  <si>
    <t xml:space="preserve">Follow-up?</t>
  </si>
  <si>
    <t xml:space="preserve">Score</t>
  </si>
  <si>
    <t xml:space="preserve">Verdict</t>
  </si>
  <si>
    <t xml:space="preserve">Rye</t>
  </si>
  <si>
    <t xml:space="preserve">Carrot</t>
  </si>
  <si>
    <t xml:space="preserve">Parsnip</t>
  </si>
  <si>
    <t xml:space="preserve">Fennel</t>
  </si>
  <si>
    <t xml:space="preserve">Licorice</t>
  </si>
  <si>
    <t xml:space="preserve">Onion</t>
  </si>
  <si>
    <t xml:space="preserve">Turnip</t>
  </si>
  <si>
    <t xml:space="preserve">Cabbage</t>
  </si>
  <si>
    <t xml:space="preserve">Spelt</t>
  </si>
  <si>
    <t xml:space="preserve">Flax</t>
  </si>
  <si>
    <t xml:space="preserve">Sunflower</t>
  </si>
  <si>
    <t xml:space="preserve">Soybean</t>
  </si>
  <si>
    <t xml:space="preserve">Pumpkin</t>
  </si>
  <si>
    <t xml:space="preserve">Amaranth</t>
  </si>
  <si>
    <t xml:space="preserve">Cassava</t>
  </si>
  <si>
    <t xml:space="preserve">Peanut</t>
  </si>
  <si>
    <t xml:space="preserve">Rice</t>
  </si>
  <si>
    <t xml:space="preserve">Pineapple</t>
  </si>
  <si>
    <t xml:space="preserve">3rd score:</t>
  </si>
  <si>
    <t xml:space="preserve">10th score:</t>
  </si>
  <si>
    <t xml:space="preserve">4  ·  Top 3 crop chains. Best 2-crop sequences from today</t>
  </si>
  <si>
    <t xml:space="preserve">Rank</t>
  </si>
  <si>
    <t xml:space="preserve">First crop</t>
  </si>
  <si>
    <t xml:space="preserve">Plant</t>
  </si>
  <si>
    <t xml:space="preserve">Harvest</t>
  </si>
  <si>
    <t xml:space="preserve">Then plant</t>
  </si>
  <si>
    <t xml:space="preserve">Final harvest</t>
  </si>
  <si>
    <t xml:space="preserve">Days to spare</t>
  </si>
  <si>
    <t xml:space="preserve">Combined yield</t>
  </si>
  <si>
    <t xml:space="preserve">#1</t>
  </si>
  <si>
    <t xml:space="preserve">#2</t>
  </si>
  <si>
    <t xml:space="preserve">#3</t>
  </si>
  <si>
    <t xml:space="preserve">5  ·  Warnings &amp; guidance</t>
  </si>
  <si>
    <t xml:space="preserve">6  ·  Nutrient outlook for top pick</t>
  </si>
  <si>
    <t xml:space="preserve">6  ·  How the score works</t>
  </si>
  <si>
    <t xml:space="preserve">Score = (yield ÷ grow_days × 100) × nutrient_factor × frost_safety × damage_multiplier × rotation_factor × follow_up_factor</t>
  </si>
  <si>
    <t xml:space="preserve">  • nutrient_factor: 1.10× / 1.00× / 0.90× / 0.60× / 0.30× / 0.10× depending on the crop's required nutrient (avg of starting and ending). &gt;75 = best</t>
  </si>
  <si>
    <t xml:space="preserve">  • frost_safety: 1.0 if harvest is ≥3 days before season end; 0.6 if 'barely fits'; 0 if won't finish</t>
  </si>
  <si>
    <t xml:space="preserve">  • damage_multiplier: 1.0 if no cold/heat risk in window; else the crop's stunt mul (0.5 default, 0.75 for hardy)</t>
  </si>
  <si>
    <t xml:space="preserve">  • rotation_factor: 0.7 if crop drains your lowest axis; 1.2 if drains your highest; 1.0 otherwise</t>
  </si>
  <si>
    <t xml:space="preserve">  • follow_up_factor: 1.3 if a fast crop fits after; 1.1 if marginal; 1.0 if none</t>
  </si>
  <si>
    <t xml:space="preserve">Higher score = better choice. The 'verdict' column collapses this into top-pick / good / ok / risk / won't finish.</t>
  </si>
  <si>
    <t xml:space="preserve">What this DOES NOT account for:</t>
  </si>
  <si>
    <t xml:space="preserve">  • Specific yield variance (uses average yield from JSON drops)</t>
  </si>
  <si>
    <t xml:space="preserve">  • Tick-level temperature variance (uses daily min/max across growth window)</t>
  </si>
  <si>
    <t xml:space="preserve">  • Already-flagged plot damage (assume fresh plot)</t>
  </si>
  <si>
    <t xml:space="preserve">  • Multi-stage damage decay (assume binary risk based on minmax)</t>
  </si>
  <si>
    <t xml:space="preserve">  • Specialized class differences beyond Farmhand</t>
  </si>
  <si>
    <t xml:space="preserve">7  ·  Visualizations. Fertilizer &amp; nutrient mechanics</t>
  </si>
  <si>
    <t xml:space="preserve">Farming Dashboard</t>
  </si>
  <si>
    <t xml:space="preserve">At-a-glance overview of climate, crops, and active plots. Jump to a tab for details.</t>
  </si>
  <si>
    <t xml:space="preserve">Climate snapshot</t>
  </si>
  <si>
    <t xml:space="preserve">YEARLY MEAN</t>
  </si>
  <si>
    <t xml:space="preserve">COLDEST DAY</t>
  </si>
  <si>
    <t xml:space="preserve">HOTTEST DAY</t>
  </si>
  <si>
    <t xml:space="preserve">"-2.13°C"</t>
  </si>
  <si>
    <t xml:space="preserve">subarctic continental</t>
  </si>
  <si>
    <t xml:space="preserve">winter low</t>
  </si>
  <si>
    <t xml:space="preserve">summer high</t>
  </si>
  <si>
    <t xml:space="preserve">DAYS AVG &gt; 0°C</t>
  </si>
  <si>
    <t xml:space="preserve">FROSTY NIGHTS</t>
  </si>
  <si>
    <t xml:space="preserve">TODAY</t>
  </si>
  <si>
    <t xml:space="preserve">growing season</t>
  </si>
  <si>
    <t xml:space="preserve">min &lt; 0°C</t>
  </si>
  <si>
    <t xml:space="preserve">set in Settings</t>
  </si>
  <si>
    <t xml:space="preserve">Visual overview</t>
  </si>
  <si>
    <t xml:space="preserve">Plot status (live from Plots tab)</t>
  </si>
  <si>
    <t xml:space="preserve">Plots in use</t>
  </si>
  <si>
    <t xml:space="preserve">Ready to harvest</t>
  </si>
  <si>
    <t xml:space="preserve">Ripening (≤3 days left)</t>
  </si>
  <si>
    <t xml:space="preserve">With cold flag</t>
  </si>
  <si>
    <t xml:space="preserve">With heat flag</t>
  </si>
  <si>
    <t xml:space="preserve">Jump to</t>
  </si>
  <si>
    <t xml:space="preserve">18 × 108 plantability heatmap. Both outdoor + greenhouse views.</t>
  </si>
  <si>
    <t xml:space="preserve">Pick crop + day, see formulas + temperature window chart (live).</t>
  </si>
  <si>
    <t xml:space="preserve">Track active farms. Status auto-updates from CurrentDay.</t>
  </si>
  <si>
    <t xml:space="preserve">N/P/K rotation history per plot.</t>
  </si>
  <si>
    <t xml:space="preserve">Plant/harvest journal.</t>
  </si>
  <si>
    <t xml:space="preserve">Glossary + formula explanations + sources.</t>
  </si>
  <si>
    <t xml:space="preserve">Settings  ·  global config</t>
  </si>
  <si>
    <t xml:space="preserve">Edit blue/amber cells. All other sheets pull from here via named ranges.</t>
  </si>
  <si>
    <t xml:space="preserve">Setting</t>
  </si>
  <si>
    <t xml:space="preserve">Value</t>
  </si>
  <si>
    <t xml:space="preserve">Unit</t>
  </si>
  <si>
    <t xml:space="preserve">Notes / Source</t>
  </si>
  <si>
    <t xml:space="preserve">DaysPerMonth</t>
  </si>
  <si>
    <t xml:space="preserve">days</t>
  </si>
  <si>
    <t xml:space="preserve">Server config. Your group runs at 9. SPEC §1.2</t>
  </si>
  <si>
    <t xml:space="preserve">MonthsPerYear</t>
  </si>
  <si>
    <t xml:space="preserve">Hardcoded in engine.</t>
  </si>
  <si>
    <t xml:space="preserve">HoursPerDay</t>
  </si>
  <si>
    <t xml:space="preserve">h</t>
  </si>
  <si>
    <t xml:space="preserve">Hardcoded.</t>
  </si>
  <si>
    <t xml:space="preserve">DaysPerYear</t>
  </si>
  <si>
    <t xml:space="preserve">Computed: DaysPerMonth × MonthsPerYear</t>
  </si>
  <si>
    <t xml:space="preserve">WorldStartMonth</t>
  </si>
  <si>
    <t xml:space="preserve">Game spawn date is 1 May 1386. Changes which day-of-year = real-world May.</t>
  </si>
  <si>
    <t xml:space="preserve">Tick</t>
  </si>
  <si>
    <t xml:space="preserve">TickIntervalMean</t>
  </si>
  <si>
    <t xml:space="preserve">Each tick is uniform [3.0, 4.0). Mean 3.5h. SPEC §1.3</t>
  </si>
  <si>
    <t xml:space="preserve">TicksPerDay</t>
  </si>
  <si>
    <t xml:space="preserve">ticks</t>
  </si>
  <si>
    <t xml:space="preserve">Computed: HoursPerDay / TickIntervalMean ≈ 6.857</t>
  </si>
  <si>
    <t xml:space="preserve">Growth</t>
  </si>
  <si>
    <t xml:space="preserve">GrowthRateMul</t>
  </si>
  <si>
    <t xml:space="preserve">×</t>
  </si>
  <si>
    <t xml:space="preserve">Server config cropGrowthRateMul. SPEC §4.6</t>
  </si>
  <si>
    <t xml:space="preserve">DelayGrowthBelowSunLight</t>
  </si>
  <si>
    <t xml:space="preserve">level</t>
  </si>
  <si>
    <t xml:space="preserve">Below this sunlight, light factor drops. Default 19. SPEC §4.3</t>
  </si>
  <si>
    <t xml:space="preserve">LossPerLevel</t>
  </si>
  <si>
    <t xml:space="preserve">/level</t>
  </si>
  <si>
    <t xml:space="preserve">10% growth loss per sunlight level below threshold.</t>
  </si>
  <si>
    <t xml:space="preserve">DelayGrowthBelowTemp</t>
  </si>
  <si>
    <t xml:space="preserve">°C</t>
  </si>
  <si>
    <t xml:space="preserve">Below 10°C, growthChance starts dropping. SPEC §4.4</t>
  </si>
  <si>
    <t xml:space="preserve">LossPerDegree</t>
  </si>
  <si>
    <t xml:space="preserve">/°C</t>
  </si>
  <si>
    <t xml:space="preserve">10% per-tick growth probability lost per °C below threshold.</t>
  </si>
  <si>
    <t xml:space="preserve">Soil</t>
  </si>
  <si>
    <t xml:space="preserve">FertilityRecoverySpeed</t>
  </si>
  <si>
    <t xml:space="preserve">/tick</t>
  </si>
  <si>
    <t xml:space="preserve">Per-tick regen rate (empty plot or non-required nutrient). SPEC §7.1</t>
  </si>
  <si>
    <t xml:space="preserve">ConsumedRegenDivisor</t>
  </si>
  <si>
    <t xml:space="preserve">Required nutrient regenerates at 1/3 of normal rate when crop growing.</t>
  </si>
  <si>
    <t xml:space="preserve">SlowReleaseCap</t>
  </si>
  <si>
    <t xml:space="preserve">Per-axis fertilizer pool max. SPEC §8.2</t>
  </si>
  <si>
    <t xml:space="preserve">OriginalFertilityCap</t>
  </si>
  <si>
    <t xml:space="preserve">Hard cap on originalFertility per axis (Specialized Classes perk). SPEC §9.4</t>
  </si>
  <si>
    <t xml:space="preserve">AboveFertilityDecay</t>
  </si>
  <si>
    <t xml:space="preserve">When slow-release empty AND nutrient &gt; original, decays at this rate.</t>
  </si>
  <si>
    <t xml:space="preserve">Damage</t>
  </si>
  <si>
    <t xml:space="preserve">DeathThresholdHours</t>
  </si>
  <si>
    <t xml:space="preserve">Cumulative damage threshold for crop death. SPEC §6.6</t>
  </si>
  <si>
    <t xml:space="preserve">DamageDecayRatio</t>
  </si>
  <si>
    <t xml:space="preserve">When condition not met, accumulator decays at 1/10 of accum rate. SPEC §6.4</t>
  </si>
  <si>
    <t xml:space="preserve">DefaultColdDamageBelow</t>
  </si>
  <si>
    <t xml:space="preserve">Inferred default for crops with unset coldDamageBelow. ⚠ verify in-game.</t>
  </si>
  <si>
    <t xml:space="preserve">DefaultHeatDamageAbove</t>
  </si>
  <si>
    <t xml:space="preserve">Inferred sentinel for unset heatDamageAbove. ⚠ verify in-game.</t>
  </si>
  <si>
    <t xml:space="preserve">DefaultRipeColdMul</t>
  </si>
  <si>
    <t xml:space="preserve">Default coldDamageRipeMul.</t>
  </si>
  <si>
    <t xml:space="preserve">DefaultStuntMul</t>
  </si>
  <si>
    <t xml:space="preserve">Default damageGrowthStuntMul.</t>
  </si>
  <si>
    <t xml:space="preserve">Moisture</t>
  </si>
  <si>
    <t xml:space="preserve">WaterRetentionHours</t>
  </si>
  <si>
    <t xml:space="preserve">Decay timescale: full→0 in 4 game-days. SPEC §3.5</t>
  </si>
  <si>
    <t xml:space="preserve">DefaultMoisture</t>
  </si>
  <si>
    <t xml:space="preserve">0-1</t>
  </si>
  <si>
    <t xml:space="preserve">Your standard plot is adjacent to water = 75%. SPEC §3.7</t>
  </si>
  <si>
    <t xml:space="preserve">World</t>
  </si>
  <si>
    <t xml:space="preserve">HarshWinters</t>
  </si>
  <si>
    <t xml:space="preserve">TRUE/FALSE</t>
  </si>
  <si>
    <t xml:space="preserve">If FALSE, all damage muls bypassed. SPEC §6.8</t>
  </si>
  <si>
    <t xml:space="preserve">AllowCropDeath</t>
  </si>
  <si>
    <t xml:space="preserve">If FALSE, damage accum forced to 0 every tick.</t>
  </si>
  <si>
    <t xml:space="preserve">AllowUndergroundFarming</t>
  </si>
  <si>
    <t xml:space="preserve">If TRUE, can use torches; if FALSE, sub-sea-level lightpenalty applies.</t>
  </si>
  <si>
    <t xml:space="preserve">ProcessCrops</t>
  </si>
  <si>
    <t xml:space="preserve">Server-wide kill switch. Confirm with admin.</t>
  </si>
  <si>
    <t xml:space="preserve">Greenhouse</t>
  </si>
  <si>
    <t xml:space="preserve">GreenhouseBonus</t>
  </si>
  <si>
    <t xml:space="preserve">+5°C added when roomness &gt; 0. SPEC §11.7</t>
  </si>
  <si>
    <t xml:space="preserve">GlobalGreenhouseToggle</t>
  </si>
  <si>
    <t xml:space="preserve">Drives the calendar/simulator default. Per-plot override on Plots tab.</t>
  </si>
  <si>
    <t xml:space="preserve">Player class</t>
  </si>
  <si>
    <t xml:space="preserve">[MOD] HasFertilizerPerk</t>
  </si>
  <si>
    <t xml:space="preserve">[MOD: Specialized Classes] TRUE/FALSE</t>
  </si>
  <si>
    <t xml:space="preserve">Farmhand class via Specialized Classes mod. SPEC §9</t>
  </si>
  <si>
    <t xml:space="preserve">[MOD] PerkPercentage</t>
  </si>
  <si>
    <t xml:space="preserve">[MOD: Specialized Classes only - set FALSE on vanilla]</t>
  </si>
  <si>
    <t xml:space="preserve">fertilizerPermanencePercentage stat addition.</t>
  </si>
  <si>
    <t xml:space="preserve">Location</t>
  </si>
  <si>
    <t xml:space="preserve">Latitude</t>
  </si>
  <si>
    <t xml:space="preserve">Implied from CSV seasonal amplitude / 65. North hemisphere.</t>
  </si>
  <si>
    <t xml:space="preserve">Hemisphere</t>
  </si>
  <si>
    <t xml:space="preserve">N/S</t>
  </si>
  <si>
    <t xml:space="preserve">Hottest day = mid-July → north.</t>
  </si>
  <si>
    <t xml:space="preserve">Rainfall</t>
  </si>
  <si>
    <t xml:space="preserve">Implied from large diurnal swing (~18°C). Continental dry.</t>
  </si>
  <si>
    <t xml:space="preserve">YearlyMean</t>
  </si>
  <si>
    <t xml:space="preserve">Computed from CSV.</t>
  </si>
  <si>
    <t xml:space="preserve">SeasonalAmpPeakToTrough</t>
  </si>
  <si>
    <t xml:space="preserve">Peak summer to peak winter daily-avg span.</t>
  </si>
  <si>
    <t xml:space="preserve">DiurnalAmpAvg</t>
  </si>
  <si>
    <t xml:space="preserve">Average daily max-min spread.</t>
  </si>
  <si>
    <t xml:space="preserve">Tracking</t>
  </si>
  <si>
    <t xml:space="preserve">CurrentDay</t>
  </si>
  <si>
    <t xml:space="preserve">1-108</t>
  </si>
  <si>
    <t xml:space="preserve">Set this each session. Drives the Plots status calculations.</t>
  </si>
  <si>
    <t xml:space="preserve">CurrentYear</t>
  </si>
  <si>
    <t xml:space="preserve">For Activity Log timestamps.</t>
  </si>
  <si>
    <t xml:space="preserve">ClimateRows</t>
  </si>
  <si>
    <t xml:space="preserve">rows</t>
  </si>
  <si>
    <t xml:space="preserve">How many rows of climate data exist on the Climate sheet. Tied to the climate.csv data, not the year. If you change DaysPerMonth, regenerate climate data to match.</t>
  </si>
  <si>
    <t xml:space="preserve">Climate  ·  daily temperatures at your settled location</t>
  </si>
  <si>
    <t xml:space="preserve">Source: temperatureplot.csv (108 days × 24h = 2,592 hourly samples). Yearly mean: -2.13°C. Latitude implied: ~0.56 (subarctic boreal continental).</t>
  </si>
  <si>
    <t xml:space="preserve">Season ends:</t>
  </si>
  <si>
    <t xml:space="preserve">Day</t>
  </si>
  <si>
    <t xml:space="preserve">Month#</t>
  </si>
  <si>
    <t xml:space="preserve">Date</t>
  </si>
  <si>
    <t xml:space="preserve">Avg (°C)</t>
  </si>
  <si>
    <t xml:space="preserve">Min (°C)</t>
  </si>
  <si>
    <t xml:space="preserve">Max (°C)</t>
  </si>
  <si>
    <t xml:space="preserve">GH-Avg</t>
  </si>
  <si>
    <t xml:space="preserve">GH-Min</t>
  </si>
  <si>
    <t xml:space="preserve">GH-Max</t>
  </si>
  <si>
    <t xml:space="preserve">Frost?</t>
  </si>
  <si>
    <t xml:space="preserve">Heat?</t>
  </si>
  <si>
    <t xml:space="preserve">Crops  ·  18-crop database (JSON-verified)</t>
  </si>
  <si>
    <t xml:space="preserve">Source: survival/blocktypes/plant/crop/*.json. Edits not recommended unless game updates. Drain/stage and effective cold/heat are formulas.</t>
  </si>
  <si>
    <t xml:space="preserve">Key</t>
  </si>
  <si>
    <t xml:space="preserve">Name</t>
  </si>
  <si>
    <t xml:space="preserve">Stages</t>
  </si>
  <si>
    <t xml:space="preserve">Months</t>
  </si>
  <si>
    <t xml:space="preserve">Days@9d/m</t>
  </si>
  <si>
    <t xml:space="preserve">Nutrient</t>
  </si>
  <si>
    <t xml:space="preserve">Cons.</t>
  </si>
  <si>
    <t xml:space="preserve">Drain/stage</t>
  </si>
  <si>
    <t xml:space="preserve">Cold (raw)</t>
  </si>
  <si>
    <t xml:space="preserve">Cold (eff.)</t>
  </si>
  <si>
    <t xml:space="preserve">Heat (raw)</t>
  </si>
  <si>
    <t xml:space="preserve">Heat (eff.)</t>
  </si>
  <si>
    <t xml:space="preserve">RipeColdMul</t>
  </si>
  <si>
    <t xml:space="preserve">StuntMul</t>
  </si>
  <si>
    <t xml:space="preserve">Yield (mature)</t>
  </si>
  <si>
    <t xml:space="preserve">Yield (penult.)</t>
  </si>
  <si>
    <t xml:space="preserve">Notes</t>
  </si>
  <si>
    <t xml:space="preserve">rye</t>
  </si>
  <si>
    <t xml:space="preserve">Temperate</t>
  </si>
  <si>
    <t xml:space="preserve">5.5 ± 1</t>
  </si>
  <si>
    <t xml:space="preserve">Hardy: best cold tolerance</t>
  </si>
  <si>
    <t xml:space="preserve">carrot</t>
  </si>
  <si>
    <t xml:space="preserve">11 ± 2</t>
  </si>
  <si>
    <t xml:space="preserve">Hardy</t>
  </si>
  <si>
    <t xml:space="preserve">parsnip</t>
  </si>
  <si>
    <t xml:space="preserve">12 ± 2</t>
  </si>
  <si>
    <t xml:space="preserve">fennel</t>
  </si>
  <si>
    <t xml:space="preserve">Hardy; not in wiki</t>
  </si>
  <si>
    <t xml:space="preserve">licorice</t>
  </si>
  <si>
    <t xml:space="preserve">onion</t>
  </si>
  <si>
    <t xml:space="preserve">Heat unset</t>
  </si>
  <si>
    <t xml:space="preserve">turnip</t>
  </si>
  <si>
    <t xml:space="preserve">7 ± 1</t>
  </si>
  <si>
    <t xml:space="preserve">Fastest grower</t>
  </si>
  <si>
    <t xml:space="preserve">cabbage</t>
  </si>
  <si>
    <t xml:space="preserve">2</t>
  </si>
  <si>
    <t xml:space="preserve">Unstable behavior</t>
  </si>
  <si>
    <t xml:space="preserve">spelt</t>
  </si>
  <si>
    <t xml:space="preserve">6 ± 1</t>
  </si>
  <si>
    <t xml:space="preserve">All damage values defaulted</t>
  </si>
  <si>
    <t xml:space="preserve">flax</t>
  </si>
  <si>
    <t xml:space="preserve">3 ± 0.5</t>
  </si>
  <si>
    <t xml:space="preserve">Multi-output: grain+fibers</t>
  </si>
  <si>
    <t xml:space="preserve">sunflower</t>
  </si>
  <si>
    <t xml:space="preserve">Warm</t>
  </si>
  <si>
    <t xml:space="preserve">6.5 ± 1</t>
  </si>
  <si>
    <t xml:space="preserve">soybean</t>
  </si>
  <si>
    <t xml:space="preserve">Damage values defaulted</t>
  </si>
  <si>
    <t xml:space="preserve">pumpkin</t>
  </si>
  <si>
    <t xml:space="preserve">Special</t>
  </si>
  <si>
    <t xml:space="preserve">1.5 ± 0.5</t>
  </si>
  <si>
    <t xml:space="preserve">Vine-spreader</t>
  </si>
  <si>
    <t xml:space="preserve">amaranth</t>
  </si>
  <si>
    <t xml:space="preserve">Lowest consumption</t>
  </si>
  <si>
    <t xml:space="preserve">cassava</t>
  </si>
  <si>
    <t xml:space="preserve">16 ± 2</t>
  </si>
  <si>
    <t xml:space="preserve">Highest yield, slow</t>
  </si>
  <si>
    <t xml:space="preserve">peanut</t>
  </si>
  <si>
    <t xml:space="preserve">10 ± 2</t>
  </si>
  <si>
    <t xml:space="preserve">rice</t>
  </si>
  <si>
    <t xml:space="preserve">pineapple</t>
  </si>
  <si>
    <t xml:space="preserve">1</t>
  </si>
  <si>
    <t xml:space="preserve">Slowest grower</t>
  </si>
  <si>
    <t xml:space="preserve">Visualizations</t>
  </si>
  <si>
    <t xml:space="preserve">Soils  ·  fertility tiers</t>
  </si>
  <si>
    <t xml:space="preserve">Source: BESoilNutrition.cs. Tilling preserves fertility variant; once tilled, no longer pickup-able.</t>
  </si>
  <si>
    <t xml:space="preserve">Internal code</t>
  </si>
  <si>
    <t xml:space="preserve">Display name</t>
  </si>
  <si>
    <t xml:space="preserve">Fertility</t>
  </si>
  <si>
    <t xml:space="preserve">Worldgen</t>
  </si>
  <si>
    <t xml:space="preserve">verylow</t>
  </si>
  <si>
    <t xml:space="preserve">Barren</t>
  </si>
  <si>
    <t xml:space="preserve">Rare (in ruins)</t>
  </si>
  <si>
    <t xml:space="preserve">Found in surface ruins</t>
  </si>
  <si>
    <t xml:space="preserve">low</t>
  </si>
  <si>
    <t xml:space="preserve">Low fertility</t>
  </si>
  <si>
    <t xml:space="preserve">Yes (most common)</t>
  </si>
  <si>
    <t xml:space="preserve">Forest floor drops as low</t>
  </si>
  <si>
    <t xml:space="preserve">medium</t>
  </si>
  <si>
    <t xml:space="preserve">Medium fertility</t>
  </si>
  <si>
    <t xml:space="preserve">Yes</t>
  </si>
  <si>
    <t xml:space="preserve">Common rainfall regions</t>
  </si>
  <si>
    <t xml:space="preserve">compost</t>
  </si>
  <si>
    <t xml:space="preserve">High fertility (compost)</t>
  </si>
  <si>
    <t xml:space="preserve">Yes (post-1.19)</t>
  </si>
  <si>
    <t xml:space="preserve">Deposits in temperate areas</t>
  </si>
  <si>
    <t xml:space="preserve">high</t>
  </si>
  <si>
    <t xml:space="preserve">Terra Preta</t>
  </si>
  <si>
    <t xml:space="preserve">CRAFTED ONLY</t>
  </si>
  <si>
    <t xml:space="preserve">16 compost + 8 bonemeal + 8 charcoal</t>
  </si>
  <si>
    <t xml:space="preserve">bony</t>
  </si>
  <si>
    <t xml:space="preserve">Bony soil</t>
  </si>
  <si>
    <t xml:space="preserve">Yes (bone deposits)</t>
  </si>
  <si>
    <t xml:space="preserve">NOT TILLABLE. Code path mismatch</t>
  </si>
  <si>
    <t xml:space="preserve">Important</t>
  </si>
  <si>
    <t xml:space="preserve">• BONY SOIL is NOT TILLABLE.  ItemHoe.cs path-checks for blocks starting with "soil". Bony's code is "bonysoil". Fails the check.</t>
  </si>
  <si>
    <t xml:space="preserve">• TERRA PRETA is the only non-worldgen tier. Crafted in barrel: 16 compost + 8 bonemeal + 8 powdered charcoal → 2 high-fert soil.</t>
  </si>
  <si>
    <t xml:space="preserve">• FOREST FLOOR drops as Low (25%) when broken. Same as plain low-fertility soil.</t>
  </si>
  <si>
    <t xml:space="preserve">• Specialized Classes perk caps originalFertility at 100 per axis (post-perk). See Fertilizers tab.</t>
  </si>
  <si>
    <t xml:space="preserve">Visualization</t>
  </si>
  <si>
    <t xml:space="preserve">[MOD] Fertilizers  ·  NPK + Specialized Classes perk calculator</t>
  </si>
  <si>
    <t xml:space="preserve">Source: itemtypes/resource/{compost.json, crushed/*.json}. Perk math from SpecializedClasses.dll IL.</t>
  </si>
  <si>
    <t xml:space="preserve">Section A. Fertilizer NPK values</t>
  </si>
  <si>
    <t xml:space="preserve">Perma-boost</t>
  </si>
  <si>
    <t xml:space="preserve">Source / notes</t>
  </si>
  <si>
    <t xml:space="preserve">Potash</t>
  </si>
  <si>
    <t xml:space="preserve">+0/+0/+15 (one-time)</t>
  </si>
  <si>
    <t xml:space="preserve">Grinding sylvite, Commodities trader</t>
  </si>
  <si>
    <t xml:space="preserve">Saltpeter</t>
  </si>
  <si>
    <t xml:space="preserve">(none)</t>
  </si>
  <si>
    <t xml:space="preserve">Mined from caves, Commodities trader</t>
  </si>
  <si>
    <t xml:space="preserve">Bonemeal</t>
  </si>
  <si>
    <t xml:space="preserve">Grinding bones</t>
  </si>
  <si>
    <t xml:space="preserve">Compost</t>
  </si>
  <si>
    <t xml:space="preserve">64 rot in barrel for 20 days, Agriculture trader</t>
  </si>
  <si>
    <t xml:space="preserve">Section B. Specialized Classes 'Fertilizer' perk calculator</t>
  </si>
  <si>
    <t xml:space="preserve">Farmhand class adds +0.25 to fertilizerPermanencePercentage. Each application adds INT(ROUND(NPK × 0.25, 1)) to originalFertility, hard-clamped to [0, 100] per axis. SPEC §9.4. Edit blue cells.</t>
  </si>
  <si>
    <t xml:space="preserve">Pick fertilizer:</t>
  </si>
  <si>
    <t xml:space="preserve">N:</t>
  </si>
  <si>
    <t xml:space="preserve">Starting N / P / K (originalFertility):</t>
  </si>
  <si>
    <t xml:space="preserve">(soil tier value)</t>
  </si>
  <si>
    <t xml:space="preserve">P:</t>
  </si>
  <si>
    <t xml:space="preserve">K:</t>
  </si>
  <si>
    <t xml:space="preserve">Perma N:</t>
  </si>
  <si>
    <t xml:space="preserve">Apply #</t>
  </si>
  <si>
    <t xml:space="preserve">Perma applied this round?</t>
  </si>
  <si>
    <t xml:space="preserve">Perma P:</t>
  </si>
  <si>
    <t xml:space="preserve">Perma K:</t>
  </si>
  <si>
    <t xml:space="preserve">Perk add N:</t>
  </si>
  <si>
    <t xml:space="preserve">Perk add P:</t>
  </si>
  <si>
    <t xml:space="preserve">Perk add K:</t>
  </si>
  <si>
    <t xml:space="preserve">↑ Starting from your soil's NPK, see how originalFertility climbs with repeated fertilizing. Vanilla perma (Potash only) fires once. Perk fires every time, hard-capped at 100 per axis.</t>
  </si>
  <si>
    <t xml:space="preserve">Bonemeal P rounding: 30 × 0.25 = 7.5. Excel ROUND(7.5,1)=7.5 → INT()=7. May actually be 8 in-game (banker's rounding). Verify.</t>
  </si>
  <si>
    <t xml:space="preserve">Calendar  ·  plantability heatmap (18 crops × 108 days)</t>
  </si>
  <si>
    <t xml:space="preserve">Color codes: GREEN=plantable, AMBER=cold-stunt risk (overnight min), RED=heat damage (afternoon max), BLUE=no growth (avg≤0). Toggle greenhouse on Settings tab.</t>
  </si>
  <si>
    <t xml:space="preserve">Greenhouse view:</t>
  </si>
  <si>
    <t xml:space="preserve">Month</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</si>
  <si>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</si>
  <si>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</si>
  <si>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</si>
  <si>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</si>
  <si>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</si>
  <si>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</si>
  <si>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</si>
  <si>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</si>
  <si>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</si>
  <si>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</si>
  <si>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</si>
  <si>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</si>
  <si>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Day →</t>
  </si>
  <si>
    <t xml:space="preserve">Plantable days</t>
  </si>
  <si>
    <t xml:space="preserve">Cold / heat (°C)</t>
  </si>
  <si>
    <t xml:space="preserve">Total</t>
  </si>
  <si>
    <t xml:space="preserve">Best window</t>
  </si>
  <si>
    <t xml:space="preserve">Legend:</t>
  </si>
  <si>
    <t xml:space="preserve">O</t>
  </si>
  <si>
    <t xml:space="preserve">Plantable (healthy)</t>
  </si>
  <si>
    <t xml:space="preserve">C</t>
  </si>
  <si>
    <t xml:space="preserve">Cold stunt risk</t>
  </si>
  <si>
    <t xml:space="preserve">H</t>
  </si>
  <si>
    <t xml:space="preserve">Heat damage</t>
  </si>
  <si>
    <t xml:space="preserve">·</t>
  </si>
  <si>
    <t xml:space="preserve">No growth (avg ≤ 0°C)</t>
  </si>
  <si>
    <t xml:space="preserve">Visualizations  ·  high-resolution heatmaps</t>
  </si>
  <si>
    <t xml:space="preserve">Simulator  ·  predict crop outcome</t>
  </si>
  <si>
    <t xml:space="preserve">Pick a crop and a plant day. The right panel walks through every formula step-by-step. Edit blue cells.</t>
  </si>
  <si>
    <t xml:space="preserve">Inputs</t>
  </si>
  <si>
    <t xml:space="preserve">Crop name</t>
  </si>
  <si>
    <t xml:space="preserve">(dropdown. Pick from list)</t>
  </si>
  <si>
    <t xml:space="preserve">day#</t>
  </si>
  <si>
    <t xml:space="preserve">t_avg</t>
  </si>
  <si>
    <t xml:space="preserve">t_min</t>
  </si>
  <si>
    <t xml:space="preserve">t_max</t>
  </si>
  <si>
    <t xml:space="preserve">cold limit</t>
  </si>
  <si>
    <t xml:space="preserve">heat limit</t>
  </si>
  <si>
    <t xml:space="preserve">Plant day (1-108)</t>
  </si>
  <si>
    <t xml:space="preserve">Initial soil fertility (0-100)</t>
  </si>
  <si>
    <t xml:space="preserve">(5=Barren, 25=Low, 50=Med, 65=Compost, 80=Terra Preta, 100=perk-maxed)</t>
  </si>
  <si>
    <t xml:space="preserve">TRUE = +5°C applied this run</t>
  </si>
  <si>
    <t xml:space="preserve">Moisture (0-1)</t>
  </si>
  <si>
    <t xml:space="preserve">Default = 75% (water-adjacent plot, from Settings)</t>
  </si>
  <si>
    <t xml:space="preserve">Step 1  ·  look up crop properties</t>
  </si>
  <si>
    <t xml:space="preserve">Crop row in Crops table:</t>
  </si>
  <si>
    <t xml:space="preserve">(MATCH finds position in CropNames)</t>
  </si>
  <si>
    <t xml:space="preserve">Stages (N)</t>
  </si>
  <si>
    <t xml:space="preserve">Number of growth stages.</t>
  </si>
  <si>
    <t xml:space="preserve">Total months</t>
  </si>
  <si>
    <t xml:space="preserve">Months at default world settings.</t>
  </si>
  <si>
    <t xml:space="preserve">Days @ 9 d/m</t>
  </si>
  <si>
    <t xml:space="preserve">Total grow time at server's days-per-month.</t>
  </si>
  <si>
    <t xml:space="preserve">Required nutrient</t>
  </si>
  <si>
    <t xml:space="preserve">N, P, or K.</t>
  </si>
  <si>
    <t xml:space="preserve">Total consumption</t>
  </si>
  <si>
    <t xml:space="preserve">Total nutrient drained over lifetime.</t>
  </si>
  <si>
    <t xml:space="preserve">Drain per stage</t>
  </si>
  <si>
    <t xml:space="preserve">Computed as Cons / (Stages-1).</t>
  </si>
  <si>
    <t xml:space="preserve">Cold limit (°C)</t>
  </si>
  <si>
    <t xml:space="preserve">ColdDamageBelow effective.</t>
  </si>
  <si>
    <t xml:space="preserve">Heat limit (°C)</t>
  </si>
  <si>
    <t xml:space="preserve">HeatDamageAbove effective.</t>
  </si>
  <si>
    <t xml:space="preserve">Yield mul if ripe &amp; cold-damaged. Defaults to 0.5 if unset in JSON.</t>
  </si>
  <si>
    <t xml:space="preserve">Yield mul if damaged while growing. Defaults to 0.5 (hardy crops 0.75).</t>
  </si>
  <si>
    <t xml:space="preserve">Step 2  ·  compute growth-rate factors</t>
  </si>
  <si>
    <t xml:space="preserve">Moisture factor</t>
  </si>
  <si>
    <t xml:space="preserve">POWER(MAX(0.01, moisture × 100/70 − 0.143), 0.35).  At 75% moisture → 0.974.</t>
  </si>
  <si>
    <t xml:space="preserve">Nutrient step factor</t>
  </si>
  <si>
    <t xml:space="preserve">Stepped: &gt;75=1.1 · &gt;50=1.0 · &gt;35=0.9 · &gt;20=0.6 · &gt;5=0.3 · else=0.1.</t>
  </si>
  <si>
    <t xml:space="preserve">Growth rate at stage start</t>
  </si>
  <si>
    <t xml:space="preserve">moistFactor × nutStep. Locked into stage-time at stage start.</t>
  </si>
  <si>
    <t xml:space="preserve">Hours per stage (mean)</t>
  </si>
  <si>
    <t xml:space="preserve">Computed: 24h × Days / (Stages-1) / GrowthRate / GrowthMul.  ±10% random per stage in actual game (ignored here).</t>
  </si>
  <si>
    <t xml:space="preserve">Total grow time (mean, hrs)</t>
  </si>
  <si>
    <t xml:space="preserve">Computed: stage hours × number of transitions. Doesn't account for temperature pausing yet.</t>
  </si>
  <si>
    <t xml:space="preserve">Total grow time (mean, days)</t>
  </si>
  <si>
    <t xml:space="preserve">Step 3  ·  temperature window during growth</t>
  </si>
  <si>
    <t xml:space="preserve">Plant day → harvest day (raw)</t>
  </si>
  <si>
    <t xml:space="preserve">Naive: assumes uninterrupted growth. Temperature lookup adjusts this.</t>
  </si>
  <si>
    <t xml:space="preserve">Lowest daily-min in window</t>
  </si>
  <si>
    <t xml:space="preserve">Lowest min temp in the predicted growth window. Uses GH-Min if greenhouse on.</t>
  </si>
  <si>
    <t xml:space="preserve">Highest daily-max in window</t>
  </si>
  <si>
    <t xml:space="preserve">Average daily-avg in window</t>
  </si>
  <si>
    <t xml:space="preserve">Used for the 'temperature drag' factor below.</t>
  </si>
  <si>
    <t xml:space="preserve">Step 4  ·  damage flag analysis</t>
  </si>
  <si>
    <t xml:space="preserve">Cold flag triggered?</t>
  </si>
  <si>
    <t xml:space="preserve">Triggered if any night in window dropped below the crop's cold limit.</t>
  </si>
  <si>
    <t xml:space="preserve">Heat flag triggered?</t>
  </si>
  <si>
    <t xml:space="preserve">Triggered if any afternoon in window exceeded the crop's heat limit.</t>
  </si>
  <si>
    <t xml:space="preserve">Stalls / dies?</t>
  </si>
  <si>
    <t xml:space="preserve">If average temp in window is ≤ 0°C, the per-tick growthChance is mostly 0 → no harvest.</t>
  </si>
  <si>
    <t xml:space="preserve">Step 5  ·  temperature drag (estimated)</t>
  </si>
  <si>
    <t xml:space="preserve">Avg per-tick growthChance</t>
  </si>
  <si>
    <t xml:space="preserve">MAX(0, MIN(1, 1 + (T-10)×0.1)). Bernoulli per tick; this is its expectation.</t>
  </si>
  <si>
    <t xml:space="preserve">Temp-adjusted total grow time (days)</t>
  </si>
  <si>
    <t xml:space="preserve">mean grow time / avg growthChance. If 0, crop never ripens.</t>
  </si>
  <si>
    <t xml:space="preserve">Predicted harvest day</t>
  </si>
  <si>
    <t xml:space="preserve">Plant day + adjusted grow days.</t>
  </si>
  <si>
    <t xml:space="preserve">VERDICT</t>
  </si>
  <si>
    <t xml:space="preserve">Outcome:</t>
  </si>
  <si>
    <t xml:space="preserve">Yield multiplier:</t>
  </si>
  <si>
    <t xml:space="preserve">Caveats: deterministic mean-case prediction. Actual game has ±10% per stage random + Bernoulli per-tick temp roll + Simplex noise. Bracket ±15% on the harvest day for safety.</t>
  </si>
  <si>
    <t xml:space="preserve">When verdict says DAMAGED, the crop reaches harvest but yield is reduced by StuntMul (typically 0.5; hardy crops 0.75).</t>
  </si>
  <si>
    <t xml:space="preserve">When verdict says STALLS, the average temperature in the predicted window is too cold. Crop won't ripen. Replant when warmer.</t>
  </si>
  <si>
    <t xml:space="preserve">Plots  ·  track your active farms</t>
  </si>
  <si>
    <t xml:space="preserve">Edit blue cells. Status, harvest day, etc. are computed. CurrentDay (Settings) drives all date calcs.</t>
  </si>
  <si>
    <t xml:space="preserve">Set 'Stage' manually to override the auto-prediction (e.g., when game disagrees with model).</t>
  </si>
  <si>
    <t xml:space="preserve">(set CurrentDay on Settings tab)</t>
  </si>
  <si>
    <t xml:space="preserve">Live counts</t>
  </si>
  <si>
    <t xml:space="preserve">Location / desc.</t>
  </si>
  <si>
    <t xml:space="preserve">GH?</t>
  </si>
  <si>
    <t xml:space="preserve">Plant day</t>
  </si>
  <si>
    <t xml:space="preserve">Plant date</t>
  </si>
  <si>
    <t xml:space="preserve">Stage (live)</t>
  </si>
  <si>
    <t xml:space="preserve">Days planted</t>
  </si>
  <si>
    <t xml:space="preserve">Pred. harvest</t>
  </si>
  <si>
    <t xml:space="preserve">Days left</t>
  </si>
  <si>
    <t xml:space="preserve">Status</t>
  </si>
  <si>
    <t xml:space="preserve">Cold?</t>
  </si>
  <si>
    <t xml:space="preserve">growing</t>
  </si>
  <si>
    <t xml:space="preserve">Count</t>
  </si>
  <si>
    <t xml:space="preserve">ripening</t>
  </si>
  <si>
    <t xml:space="preserve">P02</t>
  </si>
  <si>
    <t xml:space="preserve">READY</t>
  </si>
  <si>
    <t xml:space="preserve">P03</t>
  </si>
  <si>
    <t xml:space="preserve">empty</t>
  </si>
  <si>
    <t xml:space="preserve">P04</t>
  </si>
  <si>
    <t xml:space="preserve">unplanted</t>
  </si>
  <si>
    <t xml:space="preserve">P05</t>
  </si>
  <si>
    <t xml:space="preserve">P06</t>
  </si>
  <si>
    <t xml:space="preserve">P07</t>
  </si>
  <si>
    <t xml:space="preserve">P08</t>
  </si>
  <si>
    <t xml:space="preserve">P09</t>
  </si>
  <si>
    <t xml:space="preserve">P10</t>
  </si>
  <si>
    <t xml:space="preserve">P11</t>
  </si>
  <si>
    <t xml:space="preserve">P12</t>
  </si>
  <si>
    <t xml:space="preserve">Summary</t>
  </si>
  <si>
    <t xml:space="preserve">Plots in use:</t>
  </si>
  <si>
    <t xml:space="preserve">Ready to harvest:</t>
  </si>
  <si>
    <t xml:space="preserve">Ripening (≤3 days left):</t>
  </si>
  <si>
    <t xml:space="preserve">With cold flag:</t>
  </si>
  <si>
    <t xml:space="preserve">With heat flag:</t>
  </si>
  <si>
    <t xml:space="preserve">Rotation  ·  N/P/K history per plot</t>
  </si>
  <si>
    <t xml:space="preserve">Track which crops you've planted. Helps avoid draining the same nutrient repeatedly.</t>
  </si>
  <si>
    <t xml:space="preserve">Best practice: rotate N → P → K → N (or any 3-cycle). Soil regenerates the consumed nutrient slowly when fallow.</t>
  </si>
  <si>
    <t xml:space="preserve">Plot</t>
  </si>
  <si>
    <t xml:space="preserve">Cycle 1 crop</t>
  </si>
  <si>
    <t xml:space="preserve">Cycle 1 N</t>
  </si>
  <si>
    <t xml:space="preserve">Cycle 2 crop</t>
  </si>
  <si>
    <t xml:space="preserve">Cycle 2 N</t>
  </si>
  <si>
    <t xml:space="preserve">Cycle 3 crop</t>
  </si>
  <si>
    <t xml:space="preserve">Cycle 3 N</t>
  </si>
  <si>
    <t xml:space="preserve">Recommended next</t>
  </si>
  <si>
    <t xml:space="preserve">Crops by required nutrient</t>
  </si>
  <si>
    <t xml:space="preserve">N (nitrogen)</t>
  </si>
  <si>
    <t xml:space="preserve">Rye, Spelt, Sunflower, Cabbage, Turnip, Fennel, Amaranth, Pineapple</t>
  </si>
  <si>
    <t xml:space="preserve">P (phosphorus)</t>
  </si>
  <si>
    <t xml:space="preserve">Onion, Parsnip, Licorice, Peanut, Pumpkin</t>
  </si>
  <si>
    <t xml:space="preserve">K (potassium)</t>
  </si>
  <si>
    <t xml:space="preserve">Carrot, Flax, Rice, Soybean, Cassava</t>
  </si>
  <si>
    <t xml:space="preserve">Activity Log  ·  append-only journal</t>
  </si>
  <si>
    <t xml:space="preserve">Add a new row whenever you plant, harvest, fertilize, or notice something. Helps reconstruct what happened.</t>
  </si>
  <si>
    <t xml:space="preserve">Real-time date</t>
  </si>
  <si>
    <t xml:space="preserve">Action</t>
  </si>
  <si>
    <t xml:space="preserve">Fertilizer</t>
  </si>
  <si>
    <t xml:space="preserve">Reference  ·  glossary &amp; formulas</t>
  </si>
  <si>
    <t xml:space="preserve">Glossary</t>
  </si>
  <si>
    <t xml:space="preserve">A 3.0 to 4.0 game-hour interval (mean 3.5h, ~6.857/day). Each tick the BlockEntity updates farmland.</t>
  </si>
  <si>
    <t xml:space="preserve">Stage</t>
  </si>
  <si>
    <t xml:space="preserve">A discrete growth phase. A crop with N stages cycles 1, 2, ..., N. Ripens at stage N.</t>
  </si>
  <si>
    <t xml:space="preserve">originalFertility</t>
  </si>
  <si>
    <t xml:space="preserve">Per-axis nutrient ceiling for each plot. N, P, K stored independently. Hard-clamped to [0, 100] by the Specialized Classes perk; vanilla can push it to 95 via Potash one-time perma.</t>
  </si>
  <si>
    <t xml:space="preserve">nutrients</t>
  </si>
  <si>
    <t xml:space="preserve">Current per-axis nutrient levels (live). Drained by growing crops, regenerated when not.</t>
  </si>
  <si>
    <t xml:space="preserve">slowReleaseNutrients</t>
  </si>
  <si>
    <t xml:space="preserve">Per-axis fertilizer pool (max 150). When you apply Compost/Saltpeter/Bonemeal/Potash, NPK goes here. Releases 0.25/tick into nutrients[].</t>
  </si>
  <si>
    <t xml:space="preserve">growthChance</t>
  </si>
  <si>
    <t xml:space="preserve">Per-tick probability of progressing growth. Formula: clamp(1 + (T-10) × 0.1, 0, 1). At T=10°C, always grows. At T=5°C, 50% chance. At T≤0°C, never.</t>
  </si>
  <si>
    <t xml:space="preserve">growthPaused</t>
  </si>
  <si>
    <t xml:space="preserve">Bernoulli flag set when rand() &gt; growthChance. Halts both growth AND regen for that tick. Pushes the stage deadline forward by tick interval.</t>
  </si>
  <si>
    <t xml:space="preserve">lightGrowthSpeedFactor</t>
  </si>
  <si>
    <t xml:space="preserve">Sunlight-based factor [0,1]. At sunlight 19+, factor=1.0. Each level below loses 10%. At 9 or below, factor=0 (no growth even at perfect temp/moisture).</t>
  </si>
  <si>
    <t xml:space="preserve">roomness</t>
  </si>
  <si>
    <t xml:space="preserve">1 if greenhouse buff active (room exists, skylight majority, no exits), else 0. Recalculated at most every 12h.</t>
  </si>
  <si>
    <t xml:space="preserve">coldDamageRipeMul: yield mul applied when crop reached ripeness, then got cold-damaged. Default 0.5. Hardy crops: 0.5.</t>
  </si>
  <si>
    <t xml:space="preserve">damageGrowthStuntMul: yield mul applied when crop was damaged while still growing. Default 0.5. Hardy crops: 0.75 (BETTER outcome).</t>
  </si>
  <si>
    <t xml:space="preserve">Hardy crops</t>
  </si>
  <si>
    <t xml:space="preserve">Carrot, Parsnip, Rye, Fennel, Licorice. Have stuntMul=0.75, ripeColdMul=0.5. Counter-intuitive: better at SURVIVING cold while unripe than at recovering yield once ripe-cold-damaged.</t>
  </si>
  <si>
    <t xml:space="preserve">Bernoulli temp roll</t>
  </si>
  <si>
    <t xml:space="preserve">Each tick, a random in [0,1) is compared to growthChance. If random &gt; chance, the tick is paused. Over many ticks, this averages to a continuous slowdown. But individual ticks are binary.</t>
  </si>
  <si>
    <t xml:space="preserve">Slow-release</t>
  </si>
  <si>
    <t xml:space="preserve">Each tick, up to 0.25 from each axis of slowReleaseNutrients[] is added to nutrients[], capping at 100. So a maxed pool of 150 sustains for ~600 ticks ≈ 87 days.</t>
  </si>
  <si>
    <t xml:space="preserve">Damage accumulator</t>
  </si>
  <si>
    <t xml:space="preserve">Per stress-type running counter (in hours). Increments while condition met (e.g., T &lt; cold). Decays at 1/10 rate when condition not met. Crop dies at 48h cumulative.</t>
  </si>
  <si>
    <t xml:space="preserve">Sticky flag</t>
  </si>
  <si>
    <t xml:space="preserve">Once unripeCold/unripeHeat/ripeCold flag is set, it persists for the crop's lifetime. Applied at harvest as yield mul. Damage accum can decay; the flag does not.</t>
  </si>
  <si>
    <t xml:space="preserve">PermaBoost</t>
  </si>
  <si>
    <t xml:space="preserve">Vanilla feature: Potash adds +15 to originalFertility[K] one time per plot (HashSet-tracked by 'potash' code). Other fertilizers don't have this.</t>
  </si>
  <si>
    <t xml:space="preserve">[MOD] Fertilizer perk</t>
  </si>
  <si>
    <t xml:space="preserve">[MOD] Specialized Classes Farmhand class: each fertilizer application adds INT(ROUND(NPK × 0.25, 1)) to originalFertility, hard-clamped to [0,100] per axis. Fires every time, on top of vanilla perma.</t>
  </si>
  <si>
    <t xml:space="preserve">Key formulas (with line refs to SPEC.md)</t>
  </si>
  <si>
    <t xml:space="preserve">Tick interval</t>
  </si>
  <si>
    <t xml:space="preserve">uniform [3.0, 4.0) hours. Mean 3.5h. SPEC §1.3</t>
  </si>
  <si>
    <t xml:space="preserve">POWER(MAX(0.01, moisture × 100/70 − 0.143), 0.35). At 75%: 0.974. SPEC §4.1</t>
  </si>
  <si>
    <t xml:space="preserve">Nutrient step</t>
  </si>
  <si>
    <t xml:space="preserve">&gt;75 → 1.10 · &gt;50 → 1.00 · &gt;35 → 0.90 · &gt;20 → 0.60 · &gt;5 → 0.30 · else → 0.10. STRICTLY &gt; (50 exactly = 0.9). SPEC §4.2</t>
  </si>
  <si>
    <t xml:space="preserve">clamp(1 + (T-10) × 0.1, 0, 1). Per-tick Bernoulli trial; rand() &gt; chance pauses tick. SPEC §4.4</t>
  </si>
  <si>
    <t xml:space="preserve">Stage hours</t>
  </si>
  <si>
    <t xml:space="preserve">(HoursPerDay × Days) / (Stages-1) / (moistFactor × nutStep) / GrowthRateMul × random[0.9-1.1]. Random fresh per stage. SPEC §4.8</t>
  </si>
  <si>
    <t xml:space="preserve">NutrientConsumption / (Stages-1). Applied on stage transition, drains the required-nutrient axis. SPEC §5.2</t>
  </si>
  <si>
    <t xml:space="preserve">Damage check</t>
  </si>
  <si>
    <t xml:space="preserve">Cold: T &lt; ColdDamageBelow → +tick to accum, set sticky flag. Heat: T &gt; HeatDamageAbove → same. Ripe-cold: only sets flag, no accum. SPEC §6.1-6.2</t>
  </si>
  <si>
    <t xml:space="preserve">Damage decay</t>
  </si>
  <si>
    <t xml:space="preserve">When condition not met: accum -= tick/10. Death at accum &gt; 48 (game-hours). Salt damage: NEVER decays. SPEC §6.4-6.6</t>
  </si>
  <si>
    <t xml:space="preserve">Yield mul</t>
  </si>
  <si>
    <t xml:space="preserve">Healthy: 1.0. Ripe-cold ONLY: ripeColdMul. Unripe damage: stuntMul (overrides ripe-cold). Dead: max(ripe, stunt). Eaten: 0. SPEC §6.7</t>
  </si>
  <si>
    <t xml:space="preserve">Regen rate</t>
  </si>
  <si>
    <t xml:space="preserve">0.25/tick (empty plot or non-required nutrient). For required nutrient when growing: 0.0833/tick. NEVER above originalFertility from regen alone. SPEC §7.1</t>
  </si>
  <si>
    <t xml:space="preserve">Each tick: 0.25 from each axis of pool moves to nutrients[] (cap 100). Pool max 150 per axis. Lasts ~87 days from full. SPEC §7.5</t>
  </si>
  <si>
    <t xml:space="preserve">[MOD] SC perk</t>
  </si>
  <si>
    <t xml:space="preserve">[MOD] delta = 0.25 (Farmhand stat). Per app: originalFertility[N/P/K] += INT(ROUND(props.NPK × 0.25, 1)), CLAMPED [0, 100]. Fires after vanilla returns true. SPEC §9.4</t>
  </si>
  <si>
    <t xml:space="preserve">+5°C added to climate.Temperature when roomness &gt; 0. Applied BEFORE damage and growthChance checks. Affects everything. SPEC §11.7</t>
  </si>
  <si>
    <t xml:space="preserve">Game source</t>
  </si>
  <si>
    <t xml:space="preserve">vssurvivalmod-master: BEFarmland.cs, BESoilNutrition.cs, BlockEntityFastForwardGrowth.cs, ItemHoe.cs</t>
  </si>
  <si>
    <t xml:space="preserve">Crop JSONs</t>
  </si>
  <si>
    <t xml:space="preserve">survival/blocktypes/plant/crop/*.json (18 plantable crops, all damage params)</t>
  </si>
  <si>
    <t xml:space="preserve">Soils JSONs</t>
  </si>
  <si>
    <t xml:space="preserve">survival/blocktypes/soil/*.json + worldproperties/abstract/fertility.json</t>
  </si>
  <si>
    <t xml:space="preserve">Fertilizer JSONs</t>
  </si>
  <si>
    <t xml:space="preserve">survival/itemtypes/resource/{compost.json, crushed/*.json}</t>
  </si>
  <si>
    <t xml:space="preserve">SC mod</t>
  </si>
  <si>
    <t xml:space="preserve">SpecializedClasses.dll IL decompilation of BlockEntityFarmland_OnBlockInteract_FertilizerPermanence_Patch + traits.json</t>
  </si>
  <si>
    <t xml:space="preserve">Climate data</t>
  </si>
  <si>
    <t xml:space="preserve">Your /debug exptempplot CSV: 144 days (16 months) of hourly temperatures at your settled position. Rolled forward from time-zero.</t>
  </si>
  <si>
    <t xml:space="preserve">This workbook</t>
  </si>
  <si>
    <t xml:space="preserve">Built off SPEC.md v3. See SPEC for line-level code citations.</t>
  </si>
  <si>
    <t xml:space="preserve">[MOD] Farmhand traits. What actually affects farming</t>
  </si>
  <si>
    <t xml:space="preserve">Audited against vssurvivalmod source + SC mod compiled DLL. Stats with NO code references are dead code.</t>
  </si>
  <si>
    <t xml:space="preserve">Trait</t>
  </si>
  <si>
    <t xml:space="preserve">Effect on farming</t>
  </si>
  <si>
    <t xml:space="preserve">militia</t>
  </si>
  <si>
    <t xml:space="preserve">Combat: +5 max HP, +5% walk speed.</t>
  </si>
  <si>
    <t xml:space="preserve">no farming effect</t>
  </si>
  <si>
    <t xml:space="preserve">farmhand</t>
  </si>
  <si>
    <t xml:space="preserve">Empty (cosmetic. Name only).</t>
  </si>
  <si>
    <t xml:space="preserve">fisherman</t>
  </si>
  <si>
    <t xml:space="preserve">Swim speed +100%.</t>
  </si>
  <si>
    <t xml:space="preserve">harvester</t>
  </si>
  <si>
    <t xml:space="preserve">Defines cropProduceDropRate, cropSeedDropRate, wildCropDropRate, youngseeddropchance. But only wildCropDropRate is read by vanilla, AND only for wild plants. Other 3 are dead code.</t>
  </si>
  <si>
    <t xml:space="preserve">DEAD CODE on farmed crops</t>
  </si>
  <si>
    <t xml:space="preserve">tiller</t>
  </si>
  <si>
    <t xml:space="preserve">Hoe durability +75%, plant break speed −75%. No direct farmland effect.</t>
  </si>
  <si>
    <t xml:space="preserve">fertilizer</t>
  </si>
  <si>
    <t xml:space="preserve">Each fertilizer application also boosts originalFertility[N/P/K] permanently by INT(ROUND(NPK × 0.25, 1)), clamped [0, 100].</t>
  </si>
  <si>
    <t xml:space="preserve">ACTIVE. Only farming bonus</t>
  </si>
  <si>
    <t xml:space="preserve">delicate</t>
  </si>
  <si>
    <t xml:space="preserve">Mining negatives: ore drops −10%, mining speed −10%, stability loss +25%. (negative trait)</t>
  </si>
  <si>
    <t xml:space="preserve">Bottom line:</t>
  </si>
  <si>
    <t xml:space="preserve">[MOD] The Farmhand class's only farming bonus is the fertilizer perk (originalFertility boost). NO harvest yield bonus, NO growth speed bonus, NO consumption discount.</t>
  </si>
  <si>
    <t xml:space="preserve">Fire safety &amp; plot spacing</t>
  </si>
  <si>
    <t xml:space="preserve">Fire propagates block-to-block through flammable neighbors. There is no fixed "X-block radius". A single block of any non-flammable material breaks the chain. Tilled farmland never burns; the risk is whatever sits next to your farm.</t>
  </si>
  <si>
    <t xml:space="preserve">Adjacent crop plots</t>
  </si>
  <si>
    <t xml:space="preserve">0 blocks. Farmland does not transmit fire to neighbors.</t>
  </si>
  <si>
    <t xml:space="preserve">safe</t>
  </si>
  <si>
    <t xml:space="preserve">Plot to nearby trees / dry grass</t>
  </si>
  <si>
    <t xml:space="preserve">2 to 3 blocks of dirt path or stone.</t>
  </si>
  <si>
    <t xml:space="preserve">low risk</t>
  </si>
  <si>
    <t xml:space="preserve">Plot to wooden buildings</t>
  </si>
  <si>
    <t xml:space="preserve">3 to 5 blocks, plus a non-flammable wall on the building side.</t>
  </si>
  <si>
    <t xml:space="preserve">lightning risk</t>
  </si>
  <si>
    <t xml:space="preserve">Pit kiln to anything flammable</t>
  </si>
  <si>
    <t xml:space="preserve">4 to 5 blocks. Pit kilns spread fire while firing.</t>
  </si>
  <si>
    <t xml:space="preserve">firepits do not</t>
  </si>
  <si>
    <t xml:space="preserve">Lightning rod placement</t>
  </si>
  <si>
    <t xml:space="preserve">On a stone pillar, separated from your house. Rod attracts strikes from up to ~40 blocks.</t>
  </si>
  <si>
    <t xml:space="preserve">never on wood</t>
  </si>
  <si>
    <t xml:space="preserve">What burns vs. what does not</t>
  </si>
  <si>
    <t xml:space="preserve">Won't burn (firebreaks)</t>
  </si>
  <si>
    <t xml:space="preserve">Tilled farmland (any crop), all soil/dirt variants, packed dirt, dirt paths, stone, gravel, sand, brick, refractory brick, cobblestone, ingot piles, water, ice.</t>
  </si>
  <si>
    <t xml:space="preserve">use these as gaps</t>
  </si>
  <si>
    <t xml:space="preserve">Will burn</t>
  </si>
  <si>
    <t xml:space="preserve">Trees, leaves, dry grass, tallgrass, thatch, dry-grass piles, logs, firewood, planks, boards, woodtypes, bookshelves, wooden cabinets, ladders, doors, reed mats, carpets.</t>
  </si>
  <si>
    <t xml:space="preserve">keep away from kilns</t>
  </si>
  <si>
    <t xml:space="preserve">Server admins can disable fire spread entirely with: /serverconfig allowfirespread false  AND  /worldconfig lightningFires false. Both apply at runtime, no restart needed.</t>
  </si>
  <si>
    <t xml:space="preserve">Underground farming and the live bug (VS 1.22.1)</t>
  </si>
  <si>
    <t xml:space="preserve">The "allowUndergroundFarming" world config setting is dead code in 1.22.1. Setting it on or off makes no difference. Confirmed by grepping vssurvivalmod 1.22.1 source: ModSystemFarming.cs reads the flag once at startup and never references it again.</t>
  </si>
  <si>
    <t xml:space="preserve">Intended behavior</t>
  </si>
  <si>
    <t xml:space="preserve">Light ≥19 = 100% growth. Each level below 19 costs 10% growth speed. At light ≤9, growth stops. Underground penalty was supposed to add +1 to the threshold per block below sea level.</t>
  </si>
  <si>
    <t xml:space="preserve">wiki spec</t>
  </si>
  <si>
    <t xml:space="preserve">Actual behavior</t>
  </si>
  <si>
    <t xml:space="preserve">Standard light penalty applies (≥19 = full speed, drops 10% per level). The underground depth penalty is NOT applied. Underground plots grow exactly as fast as surface plots at the same light level.</t>
  </si>
  <si>
    <t xml:space="preserve">live in 1.22.1</t>
  </si>
  <si>
    <t xml:space="preserve">Strange edge case</t>
  </si>
  <si>
    <t xml:space="preserve">At about 19+ blocks below sea level, light level appears to short-circuit and crops grow with zero light. No torch needed, no lantern needed.</t>
  </si>
  <si>
    <t xml:space="preserve">wiki acknowledges</t>
  </si>
  <si>
    <t xml:space="preserve">Visual sunlight check</t>
  </si>
  <si>
    <t xml:space="preserve">BlockCrop.cs line 94 reads sunlight ≥14 ONLY to set the wave-animation flag (whether crops sway). Has nothing to do with growth.</t>
  </si>
  <si>
    <t xml:space="preserve">misleading</t>
  </si>
  <si>
    <t xml:space="preserve">"allowUndergroundFarming" flag</t>
  </si>
  <si>
    <t xml:space="preserve">Set from world config in ModSystemFarming.cs line 69. Never referenced anywhere else in farming code. Flipping it has no effect.</t>
  </si>
  <si>
    <t xml:space="preserve">dead code</t>
  </si>
  <si>
    <t xml:space="preserve">Practical: if you want to farm underground, lanterns at sufficient density work fine. If you want to PREVENT underground farming on your server, the config flag will not help; enforce manually or accept it. Apply a roughly 0.7× score multiplier on the Decision tab when planning a lantern-lit underground plot at light level ~16. See SPEC §15 for the full code analysis.</t>
  </si>
</sst>
</file>

<file path=xl/styles.xml><?xml version="1.0" encoding="utf-8"?>
<styleSheet xmlns="http://schemas.openxmlformats.org/spreadsheetml/2006/main">
  <numFmts count="10">
    <numFmt numFmtId="164" formatCode="General"/>
    <numFmt numFmtId="165" formatCode="General"/>
    <numFmt numFmtId="166" formatCode="0.0"/>
    <numFmt numFmtId="167" formatCode="0"/>
    <numFmt numFmtId="168" formatCode="0.00###"/>
    <numFmt numFmtId="169" formatCode="0.00"/>
    <numFmt numFmtId="170" formatCode="0.0#"/>
    <numFmt numFmtId="171" formatCode="@"/>
    <numFmt numFmtId="172" formatCode="0.000"/>
    <numFmt numFmtId="173" formatCode="0%"/>
  </numFmts>
  <fonts count="45">
    <font>
      <sz val="11"/>
      <color theme="1"/>
      <name val="Calibri"/>
      <family val="2"/>
      <charset val="1"/>
    </font>
    <font>
      <sz val="10"/>
      <name val="Arial"/>
      <family val="0"/>
    </font>
    <font>
      <sz val="10"/>
      <name val="Arial"/>
      <family val="0"/>
    </font>
    <font>
      <sz val="10"/>
      <name val="Arial"/>
      <family val="0"/>
    </font>
    <font>
      <b val="true"/>
      <sz val="22"/>
      <color rgb="FFFFFFFF"/>
      <name val="Calibri"/>
      <family val="0"/>
      <charset val="1"/>
    </font>
    <font>
      <i val="true"/>
      <sz val="11"/>
      <color rgb="FFFFFFFF"/>
      <name val="Calibri"/>
      <family val="0"/>
      <charset val="1"/>
    </font>
    <font>
      <b val="true"/>
      <sz val="13"/>
      <color rgb="FFFFFFFF"/>
      <name val="Calibri"/>
      <family val="0"/>
      <charset val="1"/>
    </font>
    <font>
      <b val="true"/>
      <sz val="11"/>
      <color rgb="FF9C6500"/>
      <name val="Calibri"/>
      <family val="0"/>
      <charset val="1"/>
    </font>
    <font>
      <sz val="11"/>
      <color rgb="FF000000"/>
      <name val="Calibri"/>
      <family val="0"/>
      <charset val="1"/>
    </font>
    <font>
      <sz val="11"/>
      <color rgb="FF006100"/>
      <name val="Calibri"/>
      <family val="0"/>
      <charset val="1"/>
    </font>
    <font>
      <b val="true"/>
      <sz val="11"/>
      <color rgb="FF9C0006"/>
      <name val="Calibri"/>
      <family val="0"/>
      <charset val="1"/>
    </font>
    <font>
      <b val="true"/>
      <sz val="13"/>
      <color rgb="FFB85C00"/>
      <name val="Calibri"/>
      <family val="0"/>
      <charset val="1"/>
    </font>
    <font>
      <sz val="10"/>
      <color rgb="FF2C2A29"/>
      <name val="Calibri"/>
      <family val="0"/>
      <charset val="1"/>
    </font>
    <font>
      <b val="true"/>
      <sz val="11"/>
      <color rgb="FF1B4332"/>
      <name val="Calibri"/>
      <family val="0"/>
      <charset val="1"/>
    </font>
    <font>
      <i val="true"/>
      <sz val="10"/>
      <color rgb="FF6F6E6A"/>
      <name val="Calibri"/>
      <family val="0"/>
      <charset val="1"/>
    </font>
    <font>
      <b val="true"/>
      <sz val="11"/>
      <color rgb="FF2C2A29"/>
      <name val="Calibri"/>
      <family val="0"/>
      <charset val="1"/>
    </font>
    <font>
      <b val="true"/>
      <sz val="10"/>
      <color rgb="FFB85C00"/>
      <name val="Calibri"/>
      <family val="0"/>
      <charset val="1"/>
    </font>
    <font>
      <i val="true"/>
      <sz val="11"/>
      <color rgb="FF1B4332"/>
      <name val="Calibri"/>
      <family val="0"/>
      <charset val="1"/>
    </font>
    <font>
      <sz val="11"/>
      <color rgb="FF2C2A29"/>
      <name val="Calibri"/>
      <family val="0"/>
      <charset val="1"/>
    </font>
    <font>
      <b val="true"/>
      <sz val="11"/>
      <color rgb="FFFFFFFF"/>
      <name val="Calibri"/>
      <family val="0"/>
      <charset val="1"/>
    </font>
    <font>
      <b val="true"/>
      <sz val="24"/>
      <color rgb="FFFFFFFF"/>
      <name val="Calibri"/>
      <family val="0"/>
      <charset val="1"/>
    </font>
    <font>
      <i val="true"/>
      <sz val="11"/>
      <color rgb="FFE8E1C8"/>
      <name val="Calibri"/>
      <family val="0"/>
      <charset val="1"/>
    </font>
    <font>
      <b val="true"/>
      <sz val="9"/>
      <color rgb="FF2D6A4F"/>
      <name val="Calibri"/>
      <family val="0"/>
      <charset val="1"/>
    </font>
    <font>
      <b val="true"/>
      <sz val="20"/>
      <color rgb="FF2C2A29"/>
      <name val="Calibri"/>
      <family val="0"/>
      <charset val="1"/>
    </font>
    <font>
      <i val="true"/>
      <sz val="9"/>
      <color rgb="FF6F6E6A"/>
      <name val="Calibri"/>
      <family val="0"/>
      <charset val="1"/>
    </font>
    <font>
      <b val="true"/>
      <sz val="12"/>
      <color rgb="FF1B4332"/>
      <name val="Calibri"/>
      <family val="0"/>
      <charset val="1"/>
    </font>
    <font>
      <b val="true"/>
      <sz val="11"/>
      <color rgb="FF1F4E78"/>
      <name val="Calibri"/>
      <family val="0"/>
      <charset val="1"/>
    </font>
    <font>
      <sz val="11"/>
      <name val="Calibri"/>
      <family val="0"/>
      <charset val="1"/>
    </font>
    <font>
      <i val="true"/>
      <sz val="10"/>
      <color rgb="FF595959"/>
      <name val="Calibri"/>
      <family val="0"/>
      <charset val="1"/>
    </font>
    <font>
      <sz val="10"/>
      <color rgb="FF6F6E6A"/>
      <name val="Calibri"/>
      <family val="0"/>
      <charset val="1"/>
    </font>
    <font>
      <sz val="11"/>
      <color rgb="FF0000FF"/>
      <name val="Calibri"/>
      <family val="0"/>
      <charset val="1"/>
    </font>
    <font>
      <sz val="8"/>
      <color rgb="FF666666"/>
      <name val="Calibri"/>
      <family val="0"/>
      <charset val="1"/>
    </font>
    <font>
      <b val="true"/>
      <sz val="11"/>
      <name val="Calibri"/>
      <family val="0"/>
      <charset val="1"/>
    </font>
    <font>
      <sz val="9"/>
      <color rgb="FF999999"/>
      <name val="Calibri"/>
      <family val="0"/>
      <charset val="1"/>
    </font>
    <font>
      <b val="true"/>
      <sz val="18"/>
      <name val="Calibri"/>
      <family val="0"/>
      <charset val="1"/>
    </font>
    <font>
      <b val="true"/>
      <sz val="14"/>
      <color rgb="FF1B4332"/>
      <name val="Calibri"/>
      <family val="0"/>
      <charset val="1"/>
    </font>
    <font>
      <b val="true"/>
      <sz val="12"/>
      <color rgb="FFFFFFFF"/>
      <name val="Calibri"/>
      <family val="0"/>
      <charset val="1"/>
    </font>
    <font>
      <b val="true"/>
      <sz val="11"/>
      <color rgb="FF9C2929"/>
      <name val="Calibri"/>
      <family val="0"/>
      <charset val="1"/>
    </font>
    <font>
      <b val="true"/>
      <sz val="11"/>
      <color rgb="FF0F5132"/>
      <name val="Calibri"/>
      <family val="0"/>
      <charset val="1"/>
    </font>
    <font>
      <b val="true"/>
      <sz val="12"/>
      <color rgb="FFFFFFFF"/>
      <name val="Cambria"/>
      <family val="0"/>
      <charset val="1"/>
    </font>
    <font>
      <i val="true"/>
      <sz val="10"/>
      <color rgb="FF5C5854"/>
      <name val="Cambria"/>
      <family val="0"/>
      <charset val="1"/>
    </font>
    <font>
      <b val="true"/>
      <sz val="10"/>
      <color rgb="FF2C2A29"/>
      <name val="Cambria"/>
      <family val="0"/>
      <charset val="1"/>
    </font>
    <font>
      <sz val="10"/>
      <color rgb="FF5C5854"/>
      <name val="Cambria"/>
      <family val="0"/>
      <charset val="1"/>
    </font>
    <font>
      <i val="true"/>
      <sz val="9"/>
      <color rgb="FF7A7570"/>
      <name val="Cambria"/>
      <family val="0"/>
      <charset val="1"/>
    </font>
    <font>
      <b val="true"/>
      <sz val="10"/>
      <color rgb="FF1B4332"/>
      <name val="Cambria"/>
      <family val="0"/>
      <charset val="1"/>
    </font>
  </fonts>
  <fills count="25">
    <fill>
      <patternFill patternType="none"/>
    </fill>
    <fill>
      <patternFill patternType="gray125"/>
    </fill>
    <fill>
      <patternFill patternType="solid">
        <fgColor rgb="FF1B4332"/>
        <bgColor rgb="FF0F5132"/>
      </patternFill>
    </fill>
    <fill>
      <patternFill patternType="solid">
        <fgColor rgb="FF52B788"/>
        <bgColor rgb="FF999999"/>
      </patternFill>
    </fill>
    <fill>
      <patternFill patternType="solid">
        <fgColor rgb="FF2D6A4F"/>
        <bgColor rgb="FF1F4E78"/>
      </patternFill>
    </fill>
    <fill>
      <patternFill patternType="solid">
        <fgColor rgb="FFFFF2CC"/>
        <bgColor rgb="FFFFF4CC"/>
      </patternFill>
    </fill>
    <fill>
      <patternFill patternType="solid">
        <fgColor rgb="FFFFF4E6"/>
        <bgColor rgb="FFFAF5E8"/>
      </patternFill>
    </fill>
    <fill>
      <patternFill patternType="solid">
        <fgColor rgb="FFFFFBEC"/>
        <bgColor rgb="FFFDFAF1"/>
      </patternFill>
    </fill>
    <fill>
      <patternFill patternType="solid">
        <fgColor rgb="FFFFF4D9"/>
        <bgColor rgb="FFFEF1E0"/>
      </patternFill>
    </fill>
    <fill>
      <patternFill patternType="solid">
        <fgColor rgb="FFFFFFFF"/>
        <bgColor rgb="FFFDFAF1"/>
      </patternFill>
    </fill>
    <fill>
      <patternFill patternType="solid">
        <fgColor rgb="FFFFE5E5"/>
        <bgColor rgb="FFFADBD8"/>
      </patternFill>
    </fill>
    <fill>
      <patternFill patternType="solid">
        <fgColor rgb="FFFFC7CE"/>
        <bgColor rgb="FFFADBD8"/>
      </patternFill>
    </fill>
    <fill>
      <patternFill patternType="solid">
        <fgColor rgb="FFD9E1F2"/>
        <bgColor rgb="FFDDEBF7"/>
      </patternFill>
    </fill>
    <fill>
      <patternFill patternType="solid">
        <fgColor rgb="FFF2F2F2"/>
        <bgColor rgb="FFF5F5F0"/>
      </patternFill>
    </fill>
    <fill>
      <patternFill patternType="solid">
        <fgColor rgb="FFC6EFCE"/>
        <bgColor rgb="FFD4EDDA"/>
      </patternFill>
    </fill>
    <fill>
      <patternFill patternType="solid">
        <fgColor rgb="FFFFEB9C"/>
        <bgColor rgb="FFFFF2CC"/>
      </patternFill>
    </fill>
    <fill>
      <patternFill patternType="solid">
        <fgColor rgb="FFDDEBF7"/>
        <bgColor rgb="FFD9E1F2"/>
      </patternFill>
    </fill>
    <fill>
      <patternFill patternType="solid">
        <fgColor rgb="FFF5F5F0"/>
        <bgColor rgb="FFF2F2F2"/>
      </patternFill>
    </fill>
    <fill>
      <patternFill patternType="solid">
        <fgColor rgb="FF1F4E78"/>
        <bgColor rgb="FF1B4332"/>
      </patternFill>
    </fill>
    <fill>
      <patternFill patternType="solid">
        <fgColor rgb="FFEDEBE6"/>
        <bgColor rgb="FFF2F2F2"/>
      </patternFill>
    </fill>
    <fill>
      <patternFill patternType="solid">
        <fgColor rgb="FFFADBD8"/>
        <bgColor rgb="FFFFE5E5"/>
      </patternFill>
    </fill>
    <fill>
      <patternFill patternType="solid">
        <fgColor rgb="FFD4EDDA"/>
        <bgColor rgb="FFC6EFCE"/>
      </patternFill>
    </fill>
    <fill>
      <patternFill patternType="solid">
        <fgColor rgb="FFFAF5E8"/>
        <bgColor rgb="FFFFF4E6"/>
      </patternFill>
    </fill>
    <fill>
      <patternFill patternType="solid">
        <fgColor rgb="FFFDFAF1"/>
        <bgColor rgb="FFFFFBEC"/>
      </patternFill>
    </fill>
    <fill>
      <patternFill patternType="solid">
        <fgColor rgb="FFFEF1E0"/>
        <bgColor rgb="FFFFF4E6"/>
      </patternFill>
    </fill>
  </fills>
  <borders count="4">
    <border diagonalUp="false" diagonalDown="false">
      <left/>
      <right/>
      <top/>
      <bottom/>
      <diagonal/>
    </border>
    <border diagonalUp="false" diagonalDown="false">
      <left/>
      <right/>
      <top/>
      <bottom style="medium">
        <color rgb="FF1B4332"/>
      </bottom>
      <diagonal/>
    </border>
    <border diagonalUp="false" diagonalDown="false">
      <left/>
      <right/>
      <top/>
      <bottom style="thin">
        <color rgb="FFDDD9CE"/>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2" shrinkToFit="false"/>
      <protection locked="true" hidden="false"/>
    </xf>
    <xf numFmtId="164" fontId="5" fillId="2" borderId="0" xfId="0" applyFont="true" applyBorder="true" applyAlignment="true" applyProtection="false">
      <alignment horizontal="left" vertical="center" textRotation="0" wrapText="false" indent="2"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6" fillId="4" borderId="0" xfId="0" applyFont="true" applyBorder="true" applyAlignment="true" applyProtection="false">
      <alignment horizontal="left" vertical="center" textRotation="0" wrapText="false" indent="2" shrinkToFit="false"/>
      <protection locked="true" hidden="false"/>
    </xf>
    <xf numFmtId="164" fontId="0" fillId="0" borderId="0" xfId="0" applyFont="true" applyBorder="tru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4" fontId="0" fillId="5" borderId="0" xfId="0" applyFont="true" applyBorder="false" applyAlignment="true" applyProtection="false">
      <alignment horizontal="left" vertical="center" textRotation="0" wrapText="true" indent="0" shrinkToFit="false"/>
      <protection locked="true" hidden="false"/>
    </xf>
    <xf numFmtId="164" fontId="10" fillId="0" borderId="0" xfId="0" applyFont="true" applyBorder="false" applyAlignment="true" applyProtection="false">
      <alignment horizontal="left" vertical="center" textRotation="0" wrapText="true" indent="0" shrinkToFit="false"/>
      <protection locked="true" hidden="false"/>
    </xf>
    <xf numFmtId="164" fontId="11" fillId="6" borderId="0" xfId="0" applyFont="true" applyBorder="true" applyAlignment="true" applyProtection="false">
      <alignment horizontal="left" vertical="center" textRotation="0" wrapText="true" indent="1" shrinkToFit="false"/>
      <protection locked="true" hidden="false"/>
    </xf>
    <xf numFmtId="164" fontId="12" fillId="6" borderId="0" xfId="0" applyFont="true" applyBorder="true" applyAlignment="true" applyProtection="false">
      <alignment horizontal="general" vertical="top" textRotation="0" wrapText="true" indent="1"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3" fillId="7" borderId="0" xfId="0" applyFont="true" applyBorder="false" applyAlignment="true" applyProtection="false">
      <alignment horizontal="general" vertical="bottom" textRotation="0" wrapText="false" indent="0" shrinkToFit="false"/>
      <protection locked="true" hidden="false"/>
    </xf>
    <xf numFmtId="164" fontId="0" fillId="7" borderId="0" xfId="0" applyFont="true" applyBorder="false" applyAlignment="true" applyProtection="false">
      <alignment horizontal="left" vertical="center" textRotation="0" wrapText="tru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14" fillId="0" borderId="0" xfId="0" applyFont="true" applyBorder="true" applyAlignment="true" applyProtection="false">
      <alignment horizontal="left" vertical="center" textRotation="0" wrapText="true" indent="1"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left" vertical="center" textRotation="0" wrapText="true" indent="1" shrinkToFit="false"/>
      <protection locked="true" hidden="false"/>
    </xf>
    <xf numFmtId="164" fontId="7" fillId="8" borderId="0" xfId="0" applyFont="true" applyBorder="false" applyAlignment="true" applyProtection="false">
      <alignment horizontal="center" vertical="center" textRotation="0" wrapText="false" indent="0" shrinkToFit="false"/>
      <protection locked="true" hidden="false"/>
    </xf>
    <xf numFmtId="164" fontId="14" fillId="0" borderId="0" xfId="0" applyFont="true" applyBorder="true" applyAlignment="true" applyProtection="false">
      <alignment horizontal="general" vertical="bottom" textRotation="0" wrapText="false" indent="0" shrinkToFit="false"/>
      <protection locked="true" hidden="false"/>
    </xf>
    <xf numFmtId="165" fontId="7" fillId="8" borderId="0" xfId="0" applyFont="true" applyBorder="false" applyAlignment="true" applyProtection="false">
      <alignment horizontal="center" vertical="center" textRotation="0" wrapText="false" indent="0" shrinkToFit="false"/>
      <protection locked="true" hidden="false"/>
    </xf>
    <xf numFmtId="165" fontId="7" fillId="8" borderId="0" xfId="0" applyFont="true" applyBorder="false" applyAlignment="true" applyProtection="false">
      <alignment horizontal="center" vertical="center" textRotation="0" wrapText="false" indent="0" shrinkToFit="false"/>
      <protection locked="true" hidden="false"/>
    </xf>
    <xf numFmtId="164" fontId="16" fillId="0" borderId="0"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left" vertical="center" textRotation="0" wrapText="true" indent="0" shrinkToFit="false"/>
      <protection locked="true" hidden="false"/>
    </xf>
    <xf numFmtId="164" fontId="14" fillId="0" borderId="0" xfId="0" applyFont="true" applyBorder="true" applyAlignment="true" applyProtection="false">
      <alignment horizontal="left" vertical="center" textRotation="0" wrapText="true" indent="0" shrinkToFit="false"/>
      <protection locked="true" hidden="false"/>
    </xf>
    <xf numFmtId="164" fontId="15" fillId="0" borderId="0" xfId="0" applyFont="true" applyBorder="true" applyAlignment="true" applyProtection="false">
      <alignment horizontal="left" vertical="center" textRotation="0" wrapText="true" indent="1" shrinkToFit="false"/>
      <protection locked="true" hidden="false"/>
    </xf>
    <xf numFmtId="164" fontId="14" fillId="0" borderId="0" xfId="0" applyFont="true" applyBorder="false" applyAlignment="true" applyProtection="false">
      <alignment horizontal="center" vertical="center" textRotation="0" wrapText="false" indent="0" shrinkToFit="false"/>
      <protection locked="true" hidden="false"/>
    </xf>
    <xf numFmtId="164" fontId="15" fillId="7" borderId="0" xfId="0" applyFont="true" applyBorder="true" applyAlignment="true" applyProtection="false">
      <alignment horizontal="center" vertical="center" textRotation="0" wrapText="false" indent="0" shrinkToFit="false"/>
      <protection locked="true" hidden="false"/>
    </xf>
    <xf numFmtId="164" fontId="18" fillId="7" borderId="0" xfId="0" applyFont="true" applyBorder="false" applyAlignment="true" applyProtection="false">
      <alignment horizontal="center" vertical="center" textRotation="0" wrapText="false" indent="0" shrinkToFit="false"/>
      <protection locked="true" hidden="false"/>
    </xf>
    <xf numFmtId="164" fontId="15" fillId="7" borderId="0" xfId="0" applyFont="true" applyBorder="false" applyAlignment="true" applyProtection="false">
      <alignment horizontal="center" vertical="center" textRotation="0" wrapText="false" indent="0" shrinkToFit="false"/>
      <protection locked="true" hidden="false"/>
    </xf>
    <xf numFmtId="164" fontId="14" fillId="7" borderId="0" xfId="0" applyFont="true" applyBorder="true" applyAlignment="true" applyProtection="false">
      <alignment horizontal="left" vertical="center" textRotation="0" wrapText="true" indent="0" shrinkToFit="false"/>
      <protection locked="true" hidden="false"/>
    </xf>
    <xf numFmtId="164" fontId="15" fillId="7" borderId="0" xfId="0" applyFont="true" applyBorder="true" applyAlignment="true" applyProtection="false">
      <alignment horizontal="left" vertical="center" textRotation="0" wrapText="true" indent="1" shrinkToFit="false"/>
      <protection locked="true" hidden="false"/>
    </xf>
    <xf numFmtId="164" fontId="19" fillId="2" borderId="1" xfId="0" applyFont="true" applyBorder="true" applyAlignment="true" applyProtection="false">
      <alignment horizontal="center" vertical="center" textRotation="0" wrapText="true" indent="0" shrinkToFit="false"/>
      <protection locked="true" hidden="false"/>
    </xf>
    <xf numFmtId="164" fontId="0" fillId="9" borderId="2" xfId="0" applyFont="false" applyBorder="true" applyAlignment="true" applyProtection="false">
      <alignment horizontal="general" vertical="bottom" textRotation="0" wrapText="false" indent="0" shrinkToFit="false"/>
      <protection locked="true" hidden="false"/>
    </xf>
    <xf numFmtId="164" fontId="15" fillId="9" borderId="2" xfId="0" applyFont="true" applyBorder="true" applyAlignment="true" applyProtection="false">
      <alignment horizontal="left" vertical="center" textRotation="0" wrapText="true" indent="1" shrinkToFit="false"/>
      <protection locked="true" hidden="false"/>
    </xf>
    <xf numFmtId="166" fontId="0" fillId="9" borderId="2" xfId="0" applyFont="false" applyBorder="true" applyAlignment="true" applyProtection="false">
      <alignment horizontal="center" vertical="center" textRotation="0" wrapText="false" indent="0" shrinkToFit="false"/>
      <protection locked="true" hidden="false"/>
    </xf>
    <xf numFmtId="164" fontId="0" fillId="9" borderId="2" xfId="0" applyFont="false" applyBorder="true" applyAlignment="true" applyProtection="false">
      <alignment horizontal="center" vertical="center" textRotation="0" wrapText="false" indent="0" shrinkToFit="false"/>
      <protection locked="true" hidden="false"/>
    </xf>
    <xf numFmtId="167" fontId="0" fillId="9" borderId="2" xfId="0" applyFont="false" applyBorder="true" applyAlignment="true" applyProtection="false">
      <alignment horizontal="center" vertical="center" textRotation="0" wrapText="false" indent="0" shrinkToFit="false"/>
      <protection locked="true" hidden="false"/>
    </xf>
    <xf numFmtId="164" fontId="15" fillId="9" borderId="2" xfId="0" applyFont="true" applyBorder="true" applyAlignment="true" applyProtection="false">
      <alignment horizontal="center" vertical="center" textRotation="0" wrapText="false" indent="0" shrinkToFit="false"/>
      <protection locked="true" hidden="false"/>
    </xf>
    <xf numFmtId="166" fontId="15" fillId="9" borderId="2" xfId="0" applyFont="true" applyBorder="true" applyAlignment="true" applyProtection="false">
      <alignment horizontal="center" vertical="center" textRotation="0" wrapText="false" indent="0" shrinkToFit="false"/>
      <protection locked="true" hidden="false"/>
    </xf>
    <xf numFmtId="164" fontId="0" fillId="7" borderId="2" xfId="0" applyFont="false" applyBorder="true" applyAlignment="true" applyProtection="false">
      <alignment horizontal="general" vertical="bottom" textRotation="0" wrapText="false" indent="0" shrinkToFit="false"/>
      <protection locked="true" hidden="false"/>
    </xf>
    <xf numFmtId="164" fontId="15" fillId="7" borderId="2" xfId="0" applyFont="true" applyBorder="true" applyAlignment="true" applyProtection="false">
      <alignment horizontal="left" vertical="center" textRotation="0" wrapText="true" indent="1" shrinkToFit="false"/>
      <protection locked="true" hidden="false"/>
    </xf>
    <xf numFmtId="166" fontId="0" fillId="7" borderId="2" xfId="0" applyFont="false" applyBorder="true" applyAlignment="true" applyProtection="false">
      <alignment horizontal="center" vertical="center" textRotation="0" wrapText="false" indent="0" shrinkToFit="false"/>
      <protection locked="true" hidden="false"/>
    </xf>
    <xf numFmtId="164" fontId="0" fillId="7" borderId="2" xfId="0" applyFont="false" applyBorder="true" applyAlignment="true" applyProtection="false">
      <alignment horizontal="center" vertical="center" textRotation="0" wrapText="false" indent="0" shrinkToFit="false"/>
      <protection locked="true" hidden="false"/>
    </xf>
    <xf numFmtId="167" fontId="0" fillId="7" borderId="2" xfId="0" applyFont="false" applyBorder="true" applyAlignment="true" applyProtection="false">
      <alignment horizontal="center" vertical="center" textRotation="0" wrapText="false" indent="0" shrinkToFit="false"/>
      <protection locked="true" hidden="false"/>
    </xf>
    <xf numFmtId="164" fontId="15" fillId="7" borderId="2" xfId="0" applyFont="true" applyBorder="true" applyAlignment="true" applyProtection="false">
      <alignment horizontal="center" vertical="center" textRotation="0" wrapText="false" indent="0" shrinkToFit="false"/>
      <protection locked="true" hidden="false"/>
    </xf>
    <xf numFmtId="166" fontId="15" fillId="7" borderId="2" xfId="0" applyFont="true" applyBorder="tru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right" vertical="center" textRotation="0" wrapText="false" indent="0" shrinkToFit="false"/>
      <protection locked="true" hidden="false"/>
    </xf>
    <xf numFmtId="165" fontId="14" fillId="0" borderId="0" xfId="0" applyFont="true" applyBorder="false" applyAlignment="true" applyProtection="false">
      <alignment horizontal="general" vertical="bottom" textRotation="0" wrapText="false" indent="0" shrinkToFit="false"/>
      <protection locked="true" hidden="false"/>
    </xf>
    <xf numFmtId="164" fontId="0" fillId="9" borderId="2" xfId="0" applyFont="false" applyBorder="true" applyAlignment="true" applyProtection="false">
      <alignment horizontal="left" vertical="center" textRotation="0" wrapText="true" indent="1" shrinkToFit="false"/>
      <protection locked="true" hidden="false"/>
    </xf>
    <xf numFmtId="164" fontId="0" fillId="7" borderId="2" xfId="0" applyFont="false" applyBorder="true" applyAlignment="true" applyProtection="false">
      <alignment horizontal="left" vertical="center" textRotation="0" wrapText="true" indent="1" shrinkToFit="false"/>
      <protection locked="true" hidden="false"/>
    </xf>
    <xf numFmtId="164" fontId="18" fillId="0" borderId="0" xfId="0" applyFont="true" applyBorder="true" applyAlignment="true" applyProtection="false">
      <alignment horizontal="general" vertical="top" textRotation="0" wrapText="true" indent="0" shrinkToFit="false"/>
      <protection locked="true" hidden="false"/>
    </xf>
    <xf numFmtId="164" fontId="18" fillId="0" borderId="0" xfId="0" applyFont="true" applyBorder="true" applyAlignment="true" applyProtection="false">
      <alignment horizontal="left" vertical="center" textRotation="0" wrapText="true" indent="0" shrinkToFit="false"/>
      <protection locked="true" hidden="false"/>
    </xf>
    <xf numFmtId="164" fontId="20" fillId="2" borderId="0" xfId="0" applyFont="true" applyBorder="true" applyAlignment="true" applyProtection="false">
      <alignment horizontal="left" vertical="center" textRotation="0" wrapText="false" indent="2" shrinkToFit="false"/>
      <protection locked="true" hidden="false"/>
    </xf>
    <xf numFmtId="164" fontId="21" fillId="2" borderId="0" xfId="0" applyFont="true" applyBorder="true" applyAlignment="true" applyProtection="false">
      <alignment horizontal="left" vertical="center" textRotation="0" wrapText="false" indent="2" shrinkToFit="false"/>
      <protection locked="true" hidden="false"/>
    </xf>
    <xf numFmtId="164" fontId="22" fillId="7" borderId="0" xfId="0" applyFont="true" applyBorder="true" applyAlignment="true" applyProtection="false">
      <alignment horizontal="center" vertical="center" textRotation="0" wrapText="false" indent="0" shrinkToFit="false"/>
      <protection locked="true" hidden="false"/>
    </xf>
    <xf numFmtId="164" fontId="23" fillId="7" borderId="0" xfId="0" applyFont="true" applyBorder="true" applyAlignment="true" applyProtection="false">
      <alignment horizontal="center" vertical="center" textRotation="0" wrapText="false" indent="0" shrinkToFit="false"/>
      <protection locked="true" hidden="false"/>
    </xf>
    <xf numFmtId="164" fontId="24" fillId="7" borderId="0" xfId="0" applyFont="true" applyBorder="true" applyAlignment="true" applyProtection="false">
      <alignment horizontal="center" vertical="center" textRotation="0" wrapText="false" indent="0" shrinkToFit="false"/>
      <protection locked="true" hidden="false"/>
    </xf>
    <xf numFmtId="164" fontId="0" fillId="7" borderId="0" xfId="0" applyFont="false" applyBorder="false" applyAlignment="true" applyProtection="false">
      <alignment horizontal="general" vertical="bottom" textRotation="0" wrapText="false" indent="0" shrinkToFit="false"/>
      <protection locked="true" hidden="false"/>
    </xf>
    <xf numFmtId="164" fontId="18" fillId="7" borderId="0" xfId="0" applyFont="true" applyBorder="true" applyAlignment="true" applyProtection="false">
      <alignment horizontal="left" vertical="center" textRotation="0" wrapText="false" indent="1" shrinkToFit="false"/>
      <protection locked="true" hidden="false"/>
    </xf>
    <xf numFmtId="165" fontId="25" fillId="7" borderId="0" xfId="0" applyFont="true" applyBorder="true" applyAlignment="true" applyProtection="false">
      <alignment horizontal="right" vertical="center" textRotation="0" wrapText="false" indent="1" shrinkToFit="false"/>
      <protection locked="true" hidden="false"/>
    </xf>
    <xf numFmtId="164" fontId="0" fillId="9" borderId="0" xfId="0" applyFont="false" applyBorder="false" applyAlignment="true" applyProtection="false">
      <alignment horizontal="general" vertical="bottom" textRotation="0" wrapText="false" indent="0" shrinkToFit="false"/>
      <protection locked="true" hidden="false"/>
    </xf>
    <xf numFmtId="164" fontId="18" fillId="9" borderId="0" xfId="0" applyFont="true" applyBorder="true" applyAlignment="true" applyProtection="false">
      <alignment horizontal="left" vertical="center" textRotation="0" wrapText="false" indent="1" shrinkToFit="false"/>
      <protection locked="true" hidden="false"/>
    </xf>
    <xf numFmtId="165" fontId="25" fillId="9" borderId="0" xfId="0" applyFont="true" applyBorder="true" applyAlignment="true" applyProtection="false">
      <alignment horizontal="right" vertical="center" textRotation="0" wrapText="false" indent="1" shrinkToFit="false"/>
      <protection locked="true" hidden="false"/>
    </xf>
    <xf numFmtId="164" fontId="26" fillId="7" borderId="0" xfId="0" applyFont="true" applyBorder="true" applyAlignment="true" applyProtection="false">
      <alignment horizontal="left" vertical="center" textRotation="0" wrapText="false" indent="1" shrinkToFit="false"/>
      <protection locked="true" hidden="false"/>
    </xf>
    <xf numFmtId="164" fontId="12" fillId="7" borderId="0" xfId="0" applyFont="true" applyBorder="true" applyAlignment="true" applyProtection="false">
      <alignment horizontal="left" vertical="center" textRotation="0" wrapText="false" indent="1" shrinkToFit="false"/>
      <protection locked="true" hidden="false"/>
    </xf>
    <xf numFmtId="164" fontId="26" fillId="9" borderId="0" xfId="0" applyFont="true" applyBorder="true" applyAlignment="true" applyProtection="false">
      <alignment horizontal="left" vertical="center" textRotation="0" wrapText="false" indent="1" shrinkToFit="false"/>
      <protection locked="true" hidden="false"/>
    </xf>
    <xf numFmtId="164" fontId="12" fillId="9" borderId="0" xfId="0" applyFont="true" applyBorder="true" applyAlignment="true" applyProtection="false">
      <alignment horizontal="left" vertical="center" textRotation="0" wrapText="false" indent="1" shrinkToFit="false"/>
      <protection locked="true" hidden="false"/>
    </xf>
    <xf numFmtId="164" fontId="27" fillId="9" borderId="2" xfId="0" applyFont="true" applyBorder="true" applyAlignment="true" applyProtection="false">
      <alignment horizontal="general" vertical="bottom" textRotation="0" wrapText="false" indent="0" shrinkToFit="false"/>
      <protection locked="true" hidden="false"/>
    </xf>
    <xf numFmtId="164" fontId="7" fillId="8" borderId="2" xfId="0" applyFont="true" applyBorder="true" applyAlignment="true" applyProtection="false">
      <alignment horizontal="center" vertical="center" textRotation="0" wrapText="false" indent="0" shrinkToFit="false"/>
      <protection locked="true" hidden="false"/>
    </xf>
    <xf numFmtId="164" fontId="28" fillId="9" borderId="2" xfId="0" applyFont="true" applyBorder="true" applyAlignment="true" applyProtection="false">
      <alignment horizontal="center" vertical="center" textRotation="0" wrapText="false" indent="0" shrinkToFit="false"/>
      <protection locked="true" hidden="false"/>
    </xf>
    <xf numFmtId="164" fontId="28" fillId="9" borderId="2" xfId="0" applyFont="true" applyBorder="true" applyAlignment="true" applyProtection="false">
      <alignment horizontal="left" vertical="center" textRotation="0" wrapText="true" indent="0" shrinkToFit="false"/>
      <protection locked="true" hidden="false"/>
    </xf>
    <xf numFmtId="164" fontId="27" fillId="7" borderId="2" xfId="0" applyFont="true" applyBorder="true" applyAlignment="true" applyProtection="false">
      <alignment horizontal="general" vertical="bottom" textRotation="0" wrapText="false" indent="0" shrinkToFit="false"/>
      <protection locked="true" hidden="false"/>
    </xf>
    <xf numFmtId="164" fontId="28" fillId="7" borderId="2" xfId="0" applyFont="true" applyBorder="true" applyAlignment="true" applyProtection="false">
      <alignment horizontal="center" vertical="center" textRotation="0" wrapText="false" indent="0" shrinkToFit="false"/>
      <protection locked="true" hidden="false"/>
    </xf>
    <xf numFmtId="164" fontId="28" fillId="7" borderId="2" xfId="0" applyFont="true" applyBorder="true" applyAlignment="true" applyProtection="false">
      <alignment horizontal="left" vertical="center" textRotation="0" wrapText="true" indent="0" shrinkToFit="false"/>
      <protection locked="true" hidden="false"/>
    </xf>
    <xf numFmtId="165" fontId="18" fillId="7" borderId="2" xfId="0" applyFont="true" applyBorder="true" applyAlignment="true" applyProtection="false">
      <alignment horizontal="center" vertical="center" textRotation="0" wrapText="false" indent="0" shrinkToFit="false"/>
      <protection locked="true" hidden="false"/>
    </xf>
    <xf numFmtId="168" fontId="7" fillId="8" borderId="2" xfId="0" applyFont="true" applyBorder="true" applyAlignment="true" applyProtection="false">
      <alignment horizontal="center" vertical="center" textRotation="0" wrapText="false" indent="0" shrinkToFit="false"/>
      <protection locked="true" hidden="false"/>
    </xf>
    <xf numFmtId="165" fontId="18" fillId="9" borderId="2" xfId="0" applyFont="true" applyBorder="true" applyAlignment="true" applyProtection="false">
      <alignment horizontal="center" vertical="center" textRotation="0" wrapText="false" indent="0" shrinkToFit="false"/>
      <protection locked="true" hidden="false"/>
    </xf>
    <xf numFmtId="165" fontId="7" fillId="8" borderId="2" xfId="0" applyFont="true" applyBorder="true" applyAlignment="true" applyProtection="false">
      <alignment horizontal="center" vertical="center" textRotation="0" wrapText="false" indent="0" shrinkToFit="false"/>
      <protection locked="true" hidden="false"/>
    </xf>
    <xf numFmtId="164" fontId="16" fillId="7" borderId="2" xfId="0" applyFont="true" applyBorder="true" applyAlignment="true" applyProtection="false">
      <alignment horizontal="center" vertical="center" textRotation="0" wrapText="false" indent="0" shrinkToFit="false"/>
      <protection locked="true" hidden="false"/>
    </xf>
    <xf numFmtId="164" fontId="16" fillId="9" borderId="2" xfId="0" applyFont="true" applyBorder="true" applyAlignment="true" applyProtection="false">
      <alignment horizontal="center" vertical="center" textRotation="0" wrapText="false" indent="0" shrinkToFit="false"/>
      <protection locked="true" hidden="false"/>
    </xf>
    <xf numFmtId="165" fontId="15" fillId="0" borderId="0" xfId="0" applyFont="true" applyBorder="false" applyAlignment="true" applyProtection="false">
      <alignment horizontal="center" vertical="center" textRotation="0" wrapText="false" indent="0" shrinkToFit="false"/>
      <protection locked="true" hidden="false"/>
    </xf>
    <xf numFmtId="164" fontId="8" fillId="0" borderId="3" xfId="0" applyFont="true" applyBorder="true" applyAlignment="true" applyProtection="false">
      <alignment horizontal="center" vertical="center" textRotation="0" wrapText="false" indent="0" shrinkToFit="false"/>
      <protection locked="true" hidden="false"/>
    </xf>
    <xf numFmtId="165" fontId="9" fillId="0" borderId="3" xfId="0" applyFont="true" applyBorder="true" applyAlignment="true" applyProtection="false">
      <alignment horizontal="center" vertical="center" textRotation="0" wrapText="false" indent="0" shrinkToFit="false"/>
      <protection locked="true" hidden="false"/>
    </xf>
    <xf numFmtId="166" fontId="7" fillId="0" borderId="3" xfId="0" applyFont="true" applyBorder="true" applyAlignment="true" applyProtection="false">
      <alignment horizontal="center" vertical="center" textRotation="0" wrapText="false" indent="0" shrinkToFit="false"/>
      <protection locked="true" hidden="false"/>
    </xf>
    <xf numFmtId="166" fontId="9" fillId="0" borderId="3" xfId="0" applyFont="true" applyBorder="true" applyAlignment="true" applyProtection="false">
      <alignment horizontal="center" vertical="center" textRotation="0" wrapText="false" indent="0" shrinkToFit="false"/>
      <protection locked="true" hidden="false"/>
    </xf>
    <xf numFmtId="165" fontId="29" fillId="9" borderId="2" xfId="0" applyFont="true" applyBorder="true" applyAlignment="true" applyProtection="false">
      <alignment horizontal="center" vertical="center" textRotation="0" wrapText="false" indent="0" shrinkToFit="false"/>
      <protection locked="true" hidden="false"/>
    </xf>
    <xf numFmtId="165" fontId="29" fillId="7" borderId="2" xfId="0" applyFont="true" applyBorder="true" applyAlignment="true" applyProtection="false">
      <alignment horizontal="center" vertical="center" textRotation="0" wrapText="false" indent="0" shrinkToFit="false"/>
      <protection locked="true" hidden="false"/>
    </xf>
    <xf numFmtId="167" fontId="8" fillId="9" borderId="2" xfId="0" applyFont="true" applyBorder="true" applyAlignment="true" applyProtection="false">
      <alignment horizontal="center" vertical="center" textRotation="0" wrapText="false" indent="0" shrinkToFit="false"/>
      <protection locked="true" hidden="false"/>
    </xf>
    <xf numFmtId="164" fontId="8" fillId="9" borderId="2" xfId="0" applyFont="true" applyBorder="true" applyAlignment="true" applyProtection="false">
      <alignment horizontal="center" vertical="center" textRotation="0" wrapText="false" indent="0" shrinkToFit="false"/>
      <protection locked="true" hidden="false"/>
    </xf>
    <xf numFmtId="167" fontId="7" fillId="9" borderId="2" xfId="0" applyFont="true" applyBorder="true" applyAlignment="true" applyProtection="false">
      <alignment horizontal="center" vertical="center" textRotation="0" wrapText="false" indent="0" shrinkToFit="false"/>
      <protection locked="true" hidden="false"/>
    </xf>
    <xf numFmtId="169" fontId="7" fillId="9" borderId="2" xfId="0" applyFont="true" applyBorder="true" applyAlignment="true" applyProtection="false">
      <alignment horizontal="center" vertical="center" textRotation="0" wrapText="false" indent="0" shrinkToFit="false"/>
      <protection locked="true" hidden="false"/>
    </xf>
    <xf numFmtId="166" fontId="9" fillId="9" borderId="2" xfId="0" applyFont="true" applyBorder="true" applyAlignment="true" applyProtection="false">
      <alignment horizontal="center" vertical="center" textRotation="0" wrapText="false" indent="0" shrinkToFit="false"/>
      <protection locked="true" hidden="false"/>
    </xf>
    <xf numFmtId="164" fontId="7" fillId="9" borderId="2" xfId="0" applyFont="true" applyBorder="true" applyAlignment="true" applyProtection="false">
      <alignment horizontal="center" vertical="center" textRotation="0" wrapText="false" indent="0" shrinkToFit="false"/>
      <protection locked="true" hidden="false"/>
    </xf>
    <xf numFmtId="170" fontId="7" fillId="9" borderId="2" xfId="0" applyFont="true" applyBorder="true" applyAlignment="true" applyProtection="false">
      <alignment horizontal="center" vertical="center" textRotation="0" wrapText="false" indent="0" shrinkToFit="false"/>
      <protection locked="true" hidden="false"/>
    </xf>
    <xf numFmtId="169" fontId="8" fillId="9" borderId="2" xfId="0" applyFont="true" applyBorder="true" applyAlignment="true" applyProtection="false">
      <alignment horizontal="center" vertical="center" textRotation="0" wrapText="false" indent="0" shrinkToFit="false"/>
      <protection locked="true" hidden="false"/>
    </xf>
    <xf numFmtId="167" fontId="9" fillId="9" borderId="2" xfId="0" applyFont="true" applyBorder="true" applyAlignment="true" applyProtection="false">
      <alignment horizontal="center" vertical="center" textRotation="0" wrapText="false" indent="0" shrinkToFit="false"/>
      <protection locked="true" hidden="false"/>
    </xf>
    <xf numFmtId="167" fontId="8" fillId="7" borderId="2" xfId="0" applyFont="true" applyBorder="true" applyAlignment="true" applyProtection="false">
      <alignment horizontal="center" vertical="center" textRotation="0" wrapText="false" indent="0" shrinkToFit="false"/>
      <protection locked="true" hidden="false"/>
    </xf>
    <xf numFmtId="164" fontId="8" fillId="7" borderId="2" xfId="0" applyFont="true" applyBorder="true" applyAlignment="true" applyProtection="false">
      <alignment horizontal="center" vertical="center" textRotation="0" wrapText="false" indent="0" shrinkToFit="false"/>
      <protection locked="true" hidden="false"/>
    </xf>
    <xf numFmtId="167" fontId="7" fillId="7" borderId="2" xfId="0" applyFont="true" applyBorder="true" applyAlignment="true" applyProtection="false">
      <alignment horizontal="center" vertical="center" textRotation="0" wrapText="false" indent="0" shrinkToFit="false"/>
      <protection locked="true" hidden="false"/>
    </xf>
    <xf numFmtId="169" fontId="7" fillId="7" borderId="2" xfId="0" applyFont="true" applyBorder="true" applyAlignment="true" applyProtection="false">
      <alignment horizontal="center" vertical="center" textRotation="0" wrapText="false" indent="0" shrinkToFit="false"/>
      <protection locked="true" hidden="false"/>
    </xf>
    <xf numFmtId="166" fontId="9" fillId="7" borderId="2" xfId="0" applyFont="true" applyBorder="true" applyAlignment="true" applyProtection="false">
      <alignment horizontal="center" vertical="center" textRotation="0" wrapText="false" indent="0" shrinkToFit="false"/>
      <protection locked="true" hidden="false"/>
    </xf>
    <xf numFmtId="164" fontId="7" fillId="7" borderId="2" xfId="0" applyFont="true" applyBorder="true" applyAlignment="true" applyProtection="false">
      <alignment horizontal="center" vertical="center" textRotation="0" wrapText="false" indent="0" shrinkToFit="false"/>
      <protection locked="true" hidden="false"/>
    </xf>
    <xf numFmtId="170" fontId="7" fillId="7" borderId="2" xfId="0" applyFont="true" applyBorder="true" applyAlignment="true" applyProtection="false">
      <alignment horizontal="center" vertical="center" textRotation="0" wrapText="false" indent="0" shrinkToFit="false"/>
      <protection locked="true" hidden="false"/>
    </xf>
    <xf numFmtId="169" fontId="8" fillId="7" borderId="2" xfId="0" applyFont="true" applyBorder="true" applyAlignment="true" applyProtection="false">
      <alignment horizontal="center" vertical="center" textRotation="0" wrapText="false" indent="0" shrinkToFit="false"/>
      <protection locked="true" hidden="false"/>
    </xf>
    <xf numFmtId="167" fontId="9" fillId="7" borderId="2" xfId="0" applyFont="true" applyBorder="true" applyAlignment="true" applyProtection="false">
      <alignment horizontal="center" vertical="center" textRotation="0" wrapText="false" indent="0" shrinkToFit="false"/>
      <protection locked="true" hidden="false"/>
    </xf>
    <xf numFmtId="167" fontId="30" fillId="7" borderId="2" xfId="0" applyFont="true" applyBorder="true" applyAlignment="true" applyProtection="false">
      <alignment horizontal="center" vertical="center" textRotation="0" wrapText="false" indent="0" shrinkToFit="false"/>
      <protection locked="true" hidden="false"/>
    </xf>
    <xf numFmtId="169" fontId="30" fillId="7" borderId="2" xfId="0" applyFont="true" applyBorder="true" applyAlignment="true" applyProtection="false">
      <alignment horizontal="center" vertical="center" textRotation="0" wrapText="false" indent="0" shrinkToFit="false"/>
      <protection locked="true" hidden="false"/>
    </xf>
    <xf numFmtId="167" fontId="30" fillId="10" borderId="3" xfId="0" applyFont="true" applyBorder="true" applyAlignment="true" applyProtection="false">
      <alignment horizontal="center" vertical="center" textRotation="0" wrapText="false" indent="0" shrinkToFit="false"/>
      <protection locked="true" hidden="false"/>
    </xf>
    <xf numFmtId="167" fontId="9" fillId="10" borderId="3" xfId="0" applyFont="true" applyBorder="true" applyAlignment="true" applyProtection="false">
      <alignment horizontal="center" vertical="center" textRotation="0" wrapText="false" indent="0" shrinkToFit="false"/>
      <protection locked="true" hidden="false"/>
    </xf>
    <xf numFmtId="167" fontId="7" fillId="10" borderId="3" xfId="0" applyFont="true" applyBorder="true" applyAlignment="true" applyProtection="false">
      <alignment horizontal="center" vertical="center" textRotation="0" wrapText="false" indent="0" shrinkToFit="false"/>
      <protection locked="true" hidden="false"/>
    </xf>
    <xf numFmtId="169" fontId="30" fillId="9" borderId="2" xfId="0" applyFont="true" applyBorder="true" applyAlignment="true" applyProtection="false">
      <alignment horizontal="center" vertical="center" textRotation="0" wrapText="false" indent="0" shrinkToFit="false"/>
      <protection locked="true" hidden="false"/>
    </xf>
    <xf numFmtId="164" fontId="8" fillId="9" borderId="2" xfId="0" applyFont="true" applyBorder="true" applyAlignment="true" applyProtection="false">
      <alignment horizontal="left" vertical="center" textRotation="0" wrapText="true" indent="0" shrinkToFit="false"/>
      <protection locked="true" hidden="false"/>
    </xf>
    <xf numFmtId="164" fontId="8" fillId="7" borderId="2" xfId="0" applyFont="true" applyBorder="true" applyAlignment="true" applyProtection="false">
      <alignment horizontal="left" vertical="center" textRotation="0" wrapText="true" indent="0" shrinkToFit="false"/>
      <protection locked="true" hidden="false"/>
    </xf>
    <xf numFmtId="164" fontId="7" fillId="11" borderId="3" xfId="0" applyFont="true" applyBorder="true" applyAlignment="true" applyProtection="false">
      <alignment horizontal="center" vertical="center" textRotation="0" wrapText="false" indent="0" shrinkToFit="false"/>
      <protection locked="true" hidden="false"/>
    </xf>
    <xf numFmtId="164" fontId="8" fillId="11" borderId="3" xfId="0" applyFont="true" applyBorder="true" applyAlignment="true" applyProtection="false">
      <alignment horizontal="left" vertical="center" textRotation="0" wrapText="true" indent="0" shrinkToFit="false"/>
      <protection locked="true" hidden="false"/>
    </xf>
    <xf numFmtId="167" fontId="7" fillId="11" borderId="3" xfId="0" applyFont="true" applyBorder="true" applyAlignment="true" applyProtection="false">
      <alignment horizontal="center" vertical="center" textRotation="0" wrapText="false" indent="0" shrinkToFit="false"/>
      <protection locked="true" hidden="false"/>
    </xf>
    <xf numFmtId="164" fontId="28" fillId="11" borderId="3" xfId="0" applyFont="true" applyBorder="true" applyAlignment="true" applyProtection="false">
      <alignment horizontal="left" vertical="center" textRotation="0" wrapText="true" indent="0" shrinkToFit="false"/>
      <protection locked="true" hidden="false"/>
    </xf>
    <xf numFmtId="164" fontId="10" fillId="11" borderId="3" xfId="0" applyFont="true" applyBorder="true" applyAlignment="true" applyProtection="false">
      <alignment horizontal="left" vertical="center" textRotation="0" wrapText="true" indent="0" shrinkToFit="false"/>
      <protection locked="true" hidden="false"/>
    </xf>
    <xf numFmtId="164" fontId="4" fillId="2" borderId="0" xfId="0" applyFont="true" applyBorder="false" applyAlignment="true" applyProtection="false">
      <alignment horizontal="left" vertical="center" textRotation="0" wrapText="false" indent="2" shrinkToFit="false"/>
      <protection locked="true" hidden="false"/>
    </xf>
    <xf numFmtId="164" fontId="7" fillId="9" borderId="2" xfId="0" applyFont="true" applyBorder="true" applyAlignment="true" applyProtection="false">
      <alignment horizontal="general" vertical="bottom" textRotation="0" wrapText="false" indent="0" shrinkToFit="false"/>
      <protection locked="true" hidden="false"/>
    </xf>
    <xf numFmtId="164" fontId="7" fillId="7" borderId="2" xfId="0" applyFont="true" applyBorder="true" applyAlignment="true" applyProtection="false">
      <alignment horizontal="general" vertical="bottom" textRotation="0" wrapText="false" indent="0" shrinkToFit="false"/>
      <protection locked="true" hidden="false"/>
    </xf>
    <xf numFmtId="164" fontId="28" fillId="0" borderId="0" xfId="0" applyFont="true" applyBorder="true" applyAlignment="true" applyProtection="false">
      <alignment horizontal="general" vertical="top" textRotation="0" wrapText="tru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4" fontId="7" fillId="5" borderId="3" xfId="0" applyFont="true" applyBorder="tru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7" fontId="7" fillId="5" borderId="3" xfId="0" applyFont="true" applyBorder="true" applyAlignment="true" applyProtection="false">
      <alignment horizontal="center" vertical="center" textRotation="0" wrapText="false" indent="0" shrinkToFit="false"/>
      <protection locked="true" hidden="false"/>
    </xf>
    <xf numFmtId="164" fontId="6" fillId="4" borderId="0" xfId="0" applyFont="true" applyBorder="false" applyAlignment="true" applyProtection="false">
      <alignment horizontal="left" vertical="center" textRotation="0" wrapText="false" indent="2" shrinkToFit="false"/>
      <protection locked="true" hidden="false"/>
    </xf>
    <xf numFmtId="164" fontId="9" fillId="0" borderId="0" xfId="0" applyFont="true" applyBorder="true" applyAlignment="true" applyProtection="false">
      <alignment horizontal="center" vertical="center" textRotation="0" wrapText="false" indent="0" shrinkToFit="false"/>
      <protection locked="true" hidden="false"/>
    </xf>
    <xf numFmtId="164" fontId="26" fillId="12" borderId="0" xfId="0" applyFont="true" applyBorder="false" applyAlignment="true" applyProtection="false">
      <alignment horizontal="general" vertical="bottom" textRotation="0" wrapText="false" indent="0" shrinkToFit="false"/>
      <protection locked="true" hidden="false"/>
    </xf>
    <xf numFmtId="164" fontId="26" fillId="12" borderId="0" xfId="0" applyFont="true" applyBorder="tru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right" vertical="center" textRotation="0" wrapText="false" indent="0" shrinkToFit="false"/>
      <protection locked="true" hidden="false"/>
    </xf>
    <xf numFmtId="164" fontId="28" fillId="13" borderId="0" xfId="0" applyFont="true" applyBorder="fals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center" vertical="center" textRotation="0" wrapText="false" indent="0" shrinkToFit="false"/>
      <protection locked="true" hidden="false"/>
    </xf>
    <xf numFmtId="164" fontId="26" fillId="12" borderId="3" xfId="0" applyFont="true" applyBorder="true" applyAlignment="true" applyProtection="false">
      <alignment horizontal="center" vertical="center" textRotation="0" wrapText="false" indent="0" shrinkToFit="false"/>
      <protection locked="true" hidden="false"/>
    </xf>
    <xf numFmtId="164" fontId="9" fillId="0" borderId="3" xfId="0" applyFont="true" applyBorder="true" applyAlignment="true" applyProtection="false">
      <alignment horizontal="left" vertical="center" textRotation="0" wrapText="true" indent="0" shrinkToFit="false"/>
      <protection locked="true" hidden="false"/>
    </xf>
    <xf numFmtId="164" fontId="31" fillId="0" borderId="0" xfId="0" applyFont="true" applyBorder="false" applyAlignment="true" applyProtection="false">
      <alignment horizontal="center" vertical="center" textRotation="0" wrapText="false" indent="0" shrinkToFit="false"/>
      <protection locked="true" hidden="false"/>
    </xf>
    <xf numFmtId="167" fontId="8" fillId="0" borderId="3" xfId="0" applyFont="true" applyBorder="true" applyAlignment="true" applyProtection="false">
      <alignment horizontal="center" vertical="center" textRotation="0" wrapText="false" indent="0" shrinkToFit="false"/>
      <protection locked="true" hidden="false"/>
    </xf>
    <xf numFmtId="164" fontId="9" fillId="13" borderId="3" xfId="0" applyFont="true" applyBorder="true" applyAlignment="true" applyProtection="false">
      <alignment horizontal="left" vertical="center" textRotation="0" wrapText="true" indent="0" shrinkToFit="false"/>
      <protection locked="true" hidden="false"/>
    </xf>
    <xf numFmtId="164" fontId="32" fillId="14" borderId="3"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32" fillId="15" borderId="3" xfId="0" applyFont="true" applyBorder="true" applyAlignment="true" applyProtection="false">
      <alignment horizontal="center" vertical="center" textRotation="0" wrapText="false" indent="0" shrinkToFit="false"/>
      <protection locked="true" hidden="false"/>
    </xf>
    <xf numFmtId="164" fontId="32" fillId="11" borderId="3" xfId="0" applyFont="true" applyBorder="true" applyAlignment="true" applyProtection="false">
      <alignment horizontal="center" vertical="center" textRotation="0" wrapText="false" indent="0" shrinkToFit="false"/>
      <protection locked="true" hidden="false"/>
    </xf>
    <xf numFmtId="164" fontId="32" fillId="16" borderId="3" xfId="0" applyFont="true" applyBorder="true" applyAlignment="true" applyProtection="false">
      <alignment horizontal="center" vertical="center" textRotation="0" wrapText="false" indent="0" shrinkToFit="false"/>
      <protection locked="true" hidden="false"/>
    </xf>
    <xf numFmtId="164" fontId="26" fillId="9" borderId="2" xfId="0" applyFont="true" applyBorder="true" applyAlignment="true" applyProtection="false">
      <alignment horizontal="general" vertical="bottom" textRotation="0" wrapText="false" indent="0" shrinkToFit="false"/>
      <protection locked="true" hidden="false"/>
    </xf>
    <xf numFmtId="164" fontId="7" fillId="8" borderId="3" xfId="0" applyFont="true" applyBorder="true" applyAlignment="true" applyProtection="false">
      <alignment horizontal="center" vertical="center" textRotation="0" wrapText="false" indent="0" shrinkToFit="false"/>
      <protection locked="true" hidden="false"/>
    </xf>
    <xf numFmtId="164" fontId="28" fillId="9" borderId="2" xfId="0" applyFont="true" applyBorder="true" applyAlignment="true" applyProtection="false">
      <alignment horizontal="general" vertical="bottom" textRotation="0" wrapText="false" indent="0" shrinkToFit="false"/>
      <protection locked="true" hidden="false"/>
    </xf>
    <xf numFmtId="167" fontId="33" fillId="17" borderId="0" xfId="0" applyFont="true" applyBorder="false" applyAlignment="true" applyProtection="false">
      <alignment horizontal="center" vertical="bottom" textRotation="0" wrapText="false" indent="0" shrinkToFit="false"/>
      <protection locked="true" hidden="false"/>
    </xf>
    <xf numFmtId="166" fontId="33" fillId="17" borderId="0" xfId="0" applyFont="true" applyBorder="false" applyAlignment="true" applyProtection="false">
      <alignment horizontal="center" vertical="bottom" textRotation="0" wrapText="false" indent="0" shrinkToFit="false"/>
      <protection locked="true" hidden="false"/>
    </xf>
    <xf numFmtId="164" fontId="26" fillId="7" borderId="2" xfId="0" applyFont="true" applyBorder="true" applyAlignment="true" applyProtection="false">
      <alignment horizontal="general" vertical="bottom" textRotation="0" wrapText="false" indent="0" shrinkToFit="false"/>
      <protection locked="true" hidden="false"/>
    </xf>
    <xf numFmtId="164" fontId="9" fillId="7" borderId="2" xfId="0" applyFont="true" applyBorder="true" applyAlignment="true" applyProtection="false">
      <alignment horizontal="center" vertical="center" textRotation="0" wrapText="false" indent="0" shrinkToFit="false"/>
      <protection locked="true" hidden="false"/>
    </xf>
    <xf numFmtId="165" fontId="7" fillId="8" borderId="3" xfId="0" applyFont="true" applyBorder="true" applyAlignment="true" applyProtection="false">
      <alignment horizontal="center" vertical="center" textRotation="0" wrapText="false" indent="0" shrinkToFit="false"/>
      <protection locked="true" hidden="false"/>
    </xf>
    <xf numFmtId="164" fontId="28" fillId="7" borderId="2" xfId="0" applyFont="true" applyBorder="true" applyAlignment="true" applyProtection="false">
      <alignment horizontal="general" vertical="bottom" textRotation="0" wrapText="false" indent="0" shrinkToFit="false"/>
      <protection locked="true" hidden="false"/>
    </xf>
    <xf numFmtId="169" fontId="9" fillId="9" borderId="2" xfId="0" applyFont="true" applyBorder="true" applyAlignment="true" applyProtection="false">
      <alignment horizontal="center" vertical="center" textRotation="0" wrapText="false" indent="0" shrinkToFit="false"/>
      <protection locked="true" hidden="false"/>
    </xf>
    <xf numFmtId="164" fontId="28" fillId="7" borderId="2" xfId="0" applyFont="true" applyBorder="true" applyAlignment="true" applyProtection="false">
      <alignment horizontal="right" vertical="center" textRotation="0" wrapText="false" indent="0" shrinkToFit="false"/>
      <protection locked="true" hidden="false"/>
    </xf>
    <xf numFmtId="164" fontId="28" fillId="9" borderId="2" xfId="0" applyFont="true" applyBorder="true" applyAlignment="true" applyProtection="false">
      <alignment horizontal="right" vertical="center" textRotation="0" wrapText="false" indent="0" shrinkToFit="false"/>
      <protection locked="true" hidden="false"/>
    </xf>
    <xf numFmtId="171" fontId="9" fillId="9" borderId="2" xfId="0" applyFont="true" applyBorder="true" applyAlignment="true" applyProtection="false">
      <alignment horizontal="center" vertical="center" textRotation="0" wrapText="false" indent="0" shrinkToFit="false"/>
      <protection locked="true" hidden="false"/>
    </xf>
    <xf numFmtId="169" fontId="9" fillId="7" borderId="2" xfId="0" applyFont="true" applyBorder="true" applyAlignment="true" applyProtection="false">
      <alignment horizontal="center" vertical="center" textRotation="0" wrapText="false" indent="0" shrinkToFit="false"/>
      <protection locked="true" hidden="false"/>
    </xf>
    <xf numFmtId="172" fontId="8" fillId="9" borderId="2" xfId="0" applyFont="true" applyBorder="true" applyAlignment="true" applyProtection="false">
      <alignment horizontal="center" vertical="center" textRotation="0" wrapText="false" indent="0" shrinkToFit="false"/>
      <protection locked="true" hidden="false"/>
    </xf>
    <xf numFmtId="166" fontId="8" fillId="7" borderId="2" xfId="0" applyFont="true" applyBorder="true" applyAlignment="true" applyProtection="false">
      <alignment horizontal="center" vertical="center" textRotation="0" wrapText="false" indent="0" shrinkToFit="false"/>
      <protection locked="true" hidden="false"/>
    </xf>
    <xf numFmtId="166" fontId="8" fillId="9" borderId="2" xfId="0" applyFont="true" applyBorder="true" applyAlignment="true" applyProtection="false">
      <alignment horizontal="center" vertical="center" textRotation="0" wrapText="false" indent="0" shrinkToFit="false"/>
      <protection locked="true" hidden="false"/>
    </xf>
    <xf numFmtId="164" fontId="26" fillId="0" borderId="0" xfId="0" applyFont="true" applyBorder="false" applyAlignment="true" applyProtection="false">
      <alignment horizontal="right" vertical="center" textRotation="0" wrapText="false" indent="0" shrinkToFit="false"/>
      <protection locked="true" hidden="false"/>
    </xf>
    <xf numFmtId="164" fontId="34" fillId="0" borderId="3"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73" fontId="35" fillId="0" borderId="3" xfId="0" applyFont="true" applyBorder="true" applyAlignment="true" applyProtection="false">
      <alignment horizontal="center" vertical="center" textRotation="0" wrapText="false" indent="0" shrinkToFit="false"/>
      <protection locked="true" hidden="false"/>
    </xf>
    <xf numFmtId="164" fontId="28" fillId="0" borderId="0" xfId="0" applyFont="true" applyBorder="true" applyAlignment="true" applyProtection="false">
      <alignment horizontal="general" vertical="bottom" textRotation="0" wrapText="false" indent="0" shrinkToFit="false"/>
      <protection locked="true" hidden="false"/>
    </xf>
    <xf numFmtId="164" fontId="28" fillId="3" borderId="0" xfId="0" applyFont="true" applyBorder="true" applyAlignment="true" applyProtection="false">
      <alignment horizontal="general" vertical="bottom" textRotation="0" wrapText="false" indent="0" shrinkToFit="false"/>
      <protection locked="true" hidden="false"/>
    </xf>
    <xf numFmtId="164" fontId="13" fillId="7" borderId="0" xfId="0" applyFont="true" applyBorder="false" applyAlignment="true" applyProtection="false">
      <alignment horizontal="left" vertical="center" textRotation="0" wrapText="true" indent="1" shrinkToFit="false"/>
      <protection locked="true" hidden="false"/>
    </xf>
    <xf numFmtId="164" fontId="35" fillId="7" borderId="0" xfId="0" applyFont="true" applyBorder="false" applyAlignment="true" applyProtection="false">
      <alignment horizontal="left" vertical="center" textRotation="0" wrapText="true" indent="0" shrinkToFit="false"/>
      <protection locked="true" hidden="false"/>
    </xf>
    <xf numFmtId="164" fontId="28" fillId="7" borderId="0" xfId="0" applyFont="true" applyBorder="true" applyAlignment="true" applyProtection="false">
      <alignment horizontal="left" vertical="center" textRotation="0" wrapText="true" indent="0" shrinkToFit="false"/>
      <protection locked="true" hidden="false"/>
    </xf>
    <xf numFmtId="164" fontId="15" fillId="9" borderId="0" xfId="0" applyFont="true" applyBorder="false" applyAlignment="true" applyProtection="false">
      <alignment horizontal="left" vertical="center" textRotation="0" wrapText="true" indent="1" shrinkToFit="false"/>
      <protection locked="true" hidden="false"/>
    </xf>
    <xf numFmtId="165" fontId="35" fillId="9" borderId="0" xfId="0" applyFont="true" applyBorder="false" applyAlignment="true" applyProtection="false">
      <alignment horizontal="center" vertical="center" textRotation="0" wrapText="false" indent="0" shrinkToFit="false"/>
      <protection locked="true" hidden="false"/>
    </xf>
    <xf numFmtId="164" fontId="30" fillId="8" borderId="3" xfId="0" applyFont="true" applyBorder="true" applyAlignment="true" applyProtection="false">
      <alignment horizontal="left" vertical="center" textRotation="0" wrapText="true" indent="0" shrinkToFit="false"/>
      <protection locked="true" hidden="false"/>
    </xf>
    <xf numFmtId="167" fontId="7" fillId="8" borderId="3" xfId="0" applyFont="true" applyBorder="true" applyAlignment="true" applyProtection="false">
      <alignment horizontal="center" vertical="center" textRotation="0" wrapText="false" indent="0" shrinkToFit="false"/>
      <protection locked="true" hidden="false"/>
    </xf>
    <xf numFmtId="164" fontId="9" fillId="9" borderId="2" xfId="0" applyFont="true" applyBorder="true" applyAlignment="true" applyProtection="false">
      <alignment horizontal="center" vertical="center" textRotation="0" wrapText="false" indent="0" shrinkToFit="false"/>
      <protection locked="true" hidden="false"/>
    </xf>
    <xf numFmtId="167" fontId="30" fillId="8" borderId="3" xfId="0" applyFont="true" applyBorder="true" applyAlignment="true" applyProtection="false">
      <alignment horizontal="center" vertical="center" textRotation="0" wrapText="false" indent="0" shrinkToFit="false"/>
      <protection locked="true" hidden="false"/>
    </xf>
    <xf numFmtId="164" fontId="10" fillId="9" borderId="2" xfId="0" applyFont="true" applyBorder="true" applyAlignment="true" applyProtection="false">
      <alignment horizontal="center" vertical="center" textRotation="0" wrapText="false" indent="0" shrinkToFit="false"/>
      <protection locked="true" hidden="false"/>
    </xf>
    <xf numFmtId="164" fontId="15" fillId="7" borderId="0" xfId="0" applyFont="true" applyBorder="false" applyAlignment="true" applyProtection="false">
      <alignment horizontal="left" vertical="center" textRotation="0" wrapText="true" indent="1" shrinkToFit="false"/>
      <protection locked="true" hidden="false"/>
    </xf>
    <xf numFmtId="165" fontId="35" fillId="7" borderId="0" xfId="0" applyFont="true" applyBorder="false" applyAlignment="true" applyProtection="false">
      <alignment horizontal="center" vertical="center" textRotation="0" wrapText="false" indent="0" shrinkToFit="false"/>
      <protection locked="true" hidden="false"/>
    </xf>
    <xf numFmtId="164" fontId="30" fillId="8" borderId="3" xfId="0" applyFont="true" applyBorder="true" applyAlignment="true" applyProtection="false">
      <alignment horizontal="center" vertical="center" textRotation="0" wrapText="false" indent="0" shrinkToFit="false"/>
      <protection locked="true" hidden="false"/>
    </xf>
    <xf numFmtId="164" fontId="10" fillId="7" borderId="2" xfId="0" applyFont="true" applyBorder="true" applyAlignment="true" applyProtection="false">
      <alignment horizontal="center" vertical="center" textRotation="0" wrapText="false" indent="0" shrinkToFit="false"/>
      <protection locked="true" hidden="false"/>
    </xf>
    <xf numFmtId="164" fontId="26" fillId="9" borderId="0" xfId="0" applyFont="true" applyBorder="false" applyAlignment="true" applyProtection="false">
      <alignment horizontal="general" vertical="bottom" textRotation="0" wrapText="false" indent="0" shrinkToFit="false"/>
      <protection locked="true" hidden="false"/>
    </xf>
    <xf numFmtId="165" fontId="25" fillId="9" borderId="0" xfId="0" applyFont="true" applyBorder="false" applyAlignment="true" applyProtection="false">
      <alignment horizontal="general" vertical="bottom" textRotation="0" wrapText="false" indent="0" shrinkToFit="false"/>
      <protection locked="true" hidden="false"/>
    </xf>
    <xf numFmtId="164" fontId="26" fillId="7" borderId="0" xfId="0" applyFont="true" applyBorder="false" applyAlignment="true" applyProtection="false">
      <alignment horizontal="general" vertical="bottom" textRotation="0" wrapText="false" indent="0" shrinkToFit="false"/>
      <protection locked="true" hidden="false"/>
    </xf>
    <xf numFmtId="165" fontId="25" fillId="7" borderId="0" xfId="0" applyFont="true" applyBorder="false" applyAlignment="true" applyProtection="false">
      <alignment horizontal="general" vertical="bottom" textRotation="0" wrapText="false" indent="0" shrinkToFit="false"/>
      <protection locked="true" hidden="false"/>
    </xf>
    <xf numFmtId="164" fontId="36" fillId="18" borderId="3"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7" fontId="30" fillId="9" borderId="2" xfId="0" applyFont="true" applyBorder="true" applyAlignment="true" applyProtection="false">
      <alignment horizontal="center" vertical="center" textRotation="0" wrapText="false" indent="0" shrinkToFit="false"/>
      <protection locked="true" hidden="false"/>
    </xf>
    <xf numFmtId="164" fontId="30" fillId="9" borderId="2" xfId="0" applyFont="true" applyBorder="true" applyAlignment="true" applyProtection="false">
      <alignment horizontal="center" vertical="center" textRotation="0" wrapText="false" indent="0" shrinkToFit="false"/>
      <protection locked="true" hidden="false"/>
    </xf>
    <xf numFmtId="164" fontId="30" fillId="9" borderId="2" xfId="0" applyFont="true" applyBorder="true" applyAlignment="true" applyProtection="false">
      <alignment horizontal="left" vertical="center" textRotation="0" wrapText="true" indent="0" shrinkToFit="false"/>
      <protection locked="true" hidden="false"/>
    </xf>
    <xf numFmtId="164" fontId="30" fillId="7" borderId="2" xfId="0" applyFont="true" applyBorder="true" applyAlignment="true" applyProtection="false">
      <alignment horizontal="center" vertical="center" textRotation="0" wrapText="false" indent="0" shrinkToFit="false"/>
      <protection locked="true" hidden="false"/>
    </xf>
    <xf numFmtId="164" fontId="30" fillId="7" borderId="2" xfId="0" applyFont="true" applyBorder="true" applyAlignment="true" applyProtection="false">
      <alignment horizontal="left" vertical="center" textRotation="0" wrapText="true" indent="0" shrinkToFit="false"/>
      <protection locked="true" hidden="false"/>
    </xf>
    <xf numFmtId="164" fontId="5" fillId="2" borderId="0" xfId="0" applyFont="true" applyBorder="false" applyAlignment="true" applyProtection="false">
      <alignment horizontal="left" vertical="center" textRotation="0" wrapText="false" indent="2" shrinkToFit="false"/>
      <protection locked="true" hidden="false"/>
    </xf>
    <xf numFmtId="164" fontId="26" fillId="9" borderId="2" xfId="0" applyFont="true" applyBorder="true" applyAlignment="true" applyProtection="false">
      <alignment horizontal="left" vertical="top" textRotation="0" wrapText="true" indent="0" shrinkToFit="false"/>
      <protection locked="true" hidden="false"/>
    </xf>
    <xf numFmtId="164" fontId="8" fillId="9" borderId="2" xfId="0" applyFont="true" applyBorder="tru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left" vertical="top" textRotation="0" wrapText="true" indent="0" shrinkToFit="false"/>
      <protection locked="true" hidden="false"/>
    </xf>
    <xf numFmtId="164" fontId="26" fillId="7" borderId="2" xfId="0" applyFont="true" applyBorder="true" applyAlignment="true" applyProtection="false">
      <alignment horizontal="left" vertical="top" textRotation="0" wrapText="true" indent="0" shrinkToFit="false"/>
      <protection locked="true" hidden="false"/>
    </xf>
    <xf numFmtId="164" fontId="8" fillId="7" borderId="2" xfId="0" applyFont="true" applyBorder="true" applyAlignment="true" applyProtection="false">
      <alignment horizontal="left" vertical="top" textRotation="0" wrapText="true" indent="0" shrinkToFit="false"/>
      <protection locked="true" hidden="false"/>
    </xf>
    <xf numFmtId="164" fontId="26" fillId="7" borderId="2" xfId="0" applyFont="true" applyBorder="true" applyAlignment="true" applyProtection="false">
      <alignment horizontal="left" vertical="center" textRotation="0" wrapText="true" indent="0" shrinkToFit="false"/>
      <protection locked="true" hidden="false"/>
    </xf>
    <xf numFmtId="164" fontId="26" fillId="9" borderId="2" xfId="0" applyFont="true" applyBorder="true" applyAlignment="true" applyProtection="false">
      <alignment horizontal="general" vertical="top" textRotation="0" wrapText="true" indent="0" shrinkToFit="false"/>
      <protection locked="true" hidden="false"/>
    </xf>
    <xf numFmtId="164" fontId="26" fillId="7" borderId="2" xfId="0" applyFont="true" applyBorder="true" applyAlignment="true" applyProtection="false">
      <alignment horizontal="general" vertical="top" textRotation="0" wrapText="tru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left" vertical="top" textRotation="0" wrapText="true" indent="0" shrinkToFit="false"/>
      <protection locked="true" hidden="false"/>
    </xf>
    <xf numFmtId="164" fontId="13" fillId="9" borderId="2" xfId="0" applyFont="true" applyBorder="true" applyAlignment="true" applyProtection="false">
      <alignment horizontal="left" vertical="center" textRotation="0" wrapText="true" indent="1" shrinkToFit="false"/>
      <protection locked="true" hidden="false"/>
    </xf>
    <xf numFmtId="164" fontId="18" fillId="9" borderId="2" xfId="0" applyFont="true" applyBorder="true" applyAlignment="true" applyProtection="false">
      <alignment horizontal="left" vertical="center" textRotation="0" wrapText="true" indent="0" shrinkToFit="false"/>
      <protection locked="true" hidden="false"/>
    </xf>
    <xf numFmtId="164" fontId="14" fillId="19" borderId="2" xfId="0" applyFont="true" applyBorder="true" applyAlignment="true" applyProtection="false">
      <alignment horizontal="center" vertical="center" textRotation="0" wrapText="false" indent="0" shrinkToFit="false"/>
      <protection locked="true" hidden="false"/>
    </xf>
    <xf numFmtId="164" fontId="13" fillId="7" borderId="2" xfId="0" applyFont="true" applyBorder="true" applyAlignment="true" applyProtection="false">
      <alignment horizontal="left" vertical="center" textRotation="0" wrapText="true" indent="1" shrinkToFit="false"/>
      <protection locked="true" hidden="false"/>
    </xf>
    <xf numFmtId="164" fontId="18" fillId="7" borderId="2" xfId="0" applyFont="true" applyBorder="true" applyAlignment="true" applyProtection="false">
      <alignment horizontal="left" vertical="center" textRotation="0" wrapText="true" indent="0" shrinkToFit="false"/>
      <protection locked="true" hidden="false"/>
    </xf>
    <xf numFmtId="164" fontId="13" fillId="7" borderId="2" xfId="0" applyFont="true" applyBorder="true" applyAlignment="true" applyProtection="false">
      <alignment horizontal="left" vertical="top" textRotation="0" wrapText="true" indent="0" shrinkToFit="false"/>
      <protection locked="true" hidden="false"/>
    </xf>
    <xf numFmtId="164" fontId="18" fillId="7" borderId="2" xfId="0" applyFont="true" applyBorder="true" applyAlignment="true" applyProtection="false">
      <alignment horizontal="left" vertical="top" textRotation="0" wrapText="true" indent="0" shrinkToFit="false"/>
      <protection locked="true" hidden="false"/>
    </xf>
    <xf numFmtId="164" fontId="37" fillId="20" borderId="2" xfId="0" applyFont="true" applyBorder="true" applyAlignment="true" applyProtection="false">
      <alignment horizontal="center" vertical="top" textRotation="0" wrapText="true" indent="0" shrinkToFit="false"/>
      <protection locked="true" hidden="false"/>
    </xf>
    <xf numFmtId="164" fontId="13" fillId="9" borderId="2" xfId="0" applyFont="true" applyBorder="true" applyAlignment="true" applyProtection="false">
      <alignment horizontal="left" vertical="top" textRotation="0" wrapText="true" indent="0" shrinkToFit="false"/>
      <protection locked="true" hidden="false"/>
    </xf>
    <xf numFmtId="164" fontId="18" fillId="9" borderId="2" xfId="0" applyFont="true" applyBorder="true" applyAlignment="true" applyProtection="false">
      <alignment horizontal="left" vertical="top" textRotation="0" wrapText="true" indent="0" shrinkToFit="false"/>
      <protection locked="true" hidden="false"/>
    </xf>
    <xf numFmtId="164" fontId="14" fillId="19" borderId="2" xfId="0" applyFont="true" applyBorder="true" applyAlignment="true" applyProtection="false">
      <alignment horizontal="center" vertical="top" textRotation="0" wrapText="true" indent="0" shrinkToFit="false"/>
      <protection locked="true" hidden="false"/>
    </xf>
    <xf numFmtId="164" fontId="38" fillId="21" borderId="2" xfId="0" applyFont="true" applyBorder="true" applyAlignment="true" applyProtection="false">
      <alignment horizontal="center" vertical="top" textRotation="0" wrapText="true" indent="0" shrinkToFit="false"/>
      <protection locked="true" hidden="false"/>
    </xf>
    <xf numFmtId="164" fontId="15" fillId="3" borderId="0" xfId="0" applyFont="true" applyBorder="false" applyAlignment="true" applyProtection="false">
      <alignment horizontal="left" vertical="top" textRotation="0" wrapText="true" indent="0" shrinkToFit="false"/>
      <protection locked="true" hidden="false"/>
    </xf>
    <xf numFmtId="164" fontId="17" fillId="3" borderId="0" xfId="0" applyFont="true" applyBorder="true" applyAlignment="true" applyProtection="false">
      <alignment horizontal="left" vertical="top" textRotation="0" wrapText="true" indent="0" shrinkToFit="false"/>
      <protection locked="true" hidden="false"/>
    </xf>
    <xf numFmtId="164" fontId="39" fillId="4" borderId="0" xfId="0" applyFont="true" applyBorder="true" applyAlignment="true" applyProtection="false">
      <alignment horizontal="left" vertical="center" textRotation="0" wrapText="false" indent="1" shrinkToFit="false"/>
      <protection locked="true" hidden="false"/>
    </xf>
    <xf numFmtId="164" fontId="40" fillId="0" borderId="0" xfId="0" applyFont="true" applyBorder="true" applyAlignment="true" applyProtection="false">
      <alignment horizontal="general" vertical="top" textRotation="0" wrapText="true" indent="1" shrinkToFit="false"/>
      <protection locked="true" hidden="false"/>
    </xf>
    <xf numFmtId="164" fontId="41" fillId="0" borderId="0" xfId="0" applyFont="true" applyBorder="false" applyAlignment="true" applyProtection="false">
      <alignment horizontal="left" vertical="top" textRotation="0" wrapText="true" indent="1" shrinkToFit="false"/>
      <protection locked="true" hidden="false"/>
    </xf>
    <xf numFmtId="164" fontId="42" fillId="0" borderId="0" xfId="0" applyFont="true" applyBorder="false" applyAlignment="true" applyProtection="false">
      <alignment horizontal="left" vertical="top" textRotation="0" wrapText="true" indent="0" shrinkToFit="false"/>
      <protection locked="true" hidden="false"/>
    </xf>
    <xf numFmtId="164" fontId="43" fillId="0" borderId="0" xfId="0" applyFont="true" applyBorder="false" applyAlignment="true" applyProtection="false">
      <alignment horizontal="general" vertical="top" textRotation="0" wrapText="true" indent="0" shrinkToFit="false"/>
      <protection locked="true" hidden="false"/>
    </xf>
    <xf numFmtId="164" fontId="0" fillId="22" borderId="0" xfId="0" applyFont="false" applyBorder="false" applyAlignment="true" applyProtection="false">
      <alignment horizontal="general" vertical="bottom" textRotation="0" wrapText="false" indent="0" shrinkToFit="false"/>
      <protection locked="true" hidden="false"/>
    </xf>
    <xf numFmtId="164" fontId="41" fillId="22" borderId="0" xfId="0" applyFont="true" applyBorder="false" applyAlignment="true" applyProtection="false">
      <alignment horizontal="left" vertical="top" textRotation="0" wrapText="true" indent="1" shrinkToFit="false"/>
      <protection locked="true" hidden="false"/>
    </xf>
    <xf numFmtId="164" fontId="42" fillId="22" borderId="0" xfId="0" applyFont="true" applyBorder="false" applyAlignment="true" applyProtection="false">
      <alignment horizontal="left" vertical="top" textRotation="0" wrapText="true" indent="0" shrinkToFit="false"/>
      <protection locked="true" hidden="false"/>
    </xf>
    <xf numFmtId="164" fontId="43" fillId="22" borderId="0" xfId="0" applyFont="true" applyBorder="false" applyAlignment="true" applyProtection="false">
      <alignment horizontal="general" vertical="top" textRotation="0" wrapText="true" indent="0" shrinkToFit="false"/>
      <protection locked="true" hidden="false"/>
    </xf>
    <xf numFmtId="164" fontId="44" fillId="23" borderId="0" xfId="0" applyFont="true" applyBorder="true" applyAlignment="true" applyProtection="false">
      <alignment horizontal="left" vertical="bottom" textRotation="0" wrapText="false" indent="1" shrinkToFit="false"/>
      <protection locked="true" hidden="false"/>
    </xf>
    <xf numFmtId="164" fontId="43" fillId="0" borderId="0" xfId="0" applyFont="true" applyBorder="true" applyAlignment="true" applyProtection="false">
      <alignment horizontal="general" vertical="top" textRotation="0" wrapText="true" indent="1" shrinkToFit="false"/>
      <protection locked="true" hidden="false"/>
    </xf>
    <xf numFmtId="164" fontId="0" fillId="24" borderId="0" xfId="0" applyFont="false" applyBorder="false" applyAlignment="true" applyProtection="false">
      <alignment horizontal="general" vertical="bottom" textRotation="0" wrapText="false" indent="0" shrinkToFit="false"/>
      <protection locked="true" hidden="false"/>
    </xf>
    <xf numFmtId="164" fontId="41" fillId="24" borderId="0" xfId="0" applyFont="true" applyBorder="false" applyAlignment="true" applyProtection="false">
      <alignment horizontal="left" vertical="top" textRotation="0" wrapText="true" indent="1" shrinkToFit="false"/>
      <protection locked="true" hidden="false"/>
    </xf>
    <xf numFmtId="164" fontId="42" fillId="24" borderId="0" xfId="0" applyFont="true" applyBorder="false" applyAlignment="true" applyProtection="false">
      <alignment horizontal="left" vertical="top" textRotation="0" wrapText="true" indent="0" shrinkToFit="false"/>
      <protection locked="true" hidden="false"/>
    </xf>
    <xf numFmtId="164" fontId="43" fillId="24"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ont>
        <name val="Calibri"/>
        <charset val="1"/>
        <family val="0"/>
        <b val="1"/>
        <color rgb="FF0F5132"/>
        <sz val="11"/>
      </font>
      <fill>
        <patternFill>
          <bgColor rgb="FFD4EDDA"/>
        </patternFill>
      </fill>
    </dxf>
    <dxf>
      <font>
        <name val="Calibri"/>
        <charset val="1"/>
        <family val="0"/>
        <b val="1"/>
        <color rgb="FF856404"/>
        <sz val="11"/>
      </font>
      <fill>
        <patternFill>
          <bgColor rgb="FFFFF4CC"/>
        </patternFill>
      </fill>
    </dxf>
    <dxf>
      <font>
        <name val="Calibri"/>
        <charset val="1"/>
        <family val="0"/>
        <b val="1"/>
        <color rgb="FF9C2929"/>
        <sz val="11"/>
      </font>
      <fill>
        <patternFill>
          <bgColor rgb="FFFADBD8"/>
        </patternFill>
      </fill>
    </dxf>
    <dxf>
      <font>
        <name val="Calibri"/>
        <charset val="1"/>
        <family val="0"/>
        <b val="1"/>
        <color rgb="FF1B4332"/>
        <sz val="11"/>
      </font>
      <fill>
        <patternFill>
          <bgColor rgb="FFB7E4C7"/>
        </patternFill>
      </fill>
    </dxf>
    <dxf>
      <fill>
        <patternFill>
          <bgColor rgb="FFDDEBF7"/>
        </patternFill>
      </fill>
    </dxf>
    <dxf>
      <fill>
        <patternFill>
          <bgColor rgb="FFFFC7CE"/>
        </patternFill>
      </fill>
    </dxf>
    <dxf>
      <fill>
        <patternFill>
          <bgColor rgb="FFC6EFCE"/>
        </patternFill>
      </fill>
    </dxf>
    <dxf>
      <fill>
        <patternFill>
          <bgColor rgb="FFFFEB9C"/>
        </patternFill>
      </fill>
    </dxf>
    <dxf>
      <font>
        <name val="Calibri"/>
        <charset val="1"/>
        <family val="0"/>
        <b val="1"/>
        <color rgb="FF0F5132"/>
        <sz val="11"/>
      </font>
      <fill>
        <patternFill>
          <bgColor rgb="FFC6EFCE"/>
        </patternFill>
      </fill>
    </dxf>
    <dxf>
      <fill>
        <patternFill>
          <bgColor rgb="FFF2F2F2"/>
        </patternFill>
      </fill>
    </dxf>
    <dxf>
      <font>
        <name val="Calibri"/>
        <charset val="1"/>
        <family val="0"/>
        <color rgb="FF6F6E6A"/>
        <sz val="11"/>
      </font>
      <fill>
        <patternFill>
          <bgColor rgb="FFEDEBE6"/>
        </patternFill>
      </fill>
    </dxf>
    <dxf>
      <fill>
        <patternFill>
          <bgColor rgb="FFD4EDDA"/>
        </patternFill>
      </fill>
    </dxf>
    <dxf>
      <fill>
        <patternFill>
          <bgColor rgb="FFFFF4CC"/>
        </patternFill>
      </fill>
    </dxf>
    <dxf>
      <fill>
        <patternFill>
          <bgColor rgb="FFFFF2CC"/>
        </patternFill>
      </fill>
    </dxf>
  </dxfs>
  <colors>
    <indexedColors>
      <rgbColor rgb="FF000000"/>
      <rgbColor rgb="FFFFFFFF"/>
      <rgbColor rgb="FFFF0000"/>
      <rgbColor rgb="FFFFF4E6"/>
      <rgbColor rgb="FF0000FF"/>
      <rgbColor rgb="FFFFF2CC"/>
      <rgbColor rgb="FFFF00FF"/>
      <rgbColor rgb="FFF5F5F0"/>
      <rgbColor rgb="FF9C0006"/>
      <rgbColor rgb="FF006100"/>
      <rgbColor rgb="FF000080"/>
      <rgbColor rgb="FF856404"/>
      <rgbColor rgb="FF800080"/>
      <rgbColor rgb="FF2D6A4F"/>
      <rgbColor rgb="FFDDD9CE"/>
      <rgbColor rgb="FF8C7E6A"/>
      <rgbColor rgb="FF7A7570"/>
      <rgbColor rgb="FFBC4749"/>
      <rgbColor rgb="FFFFF4CC"/>
      <rgbColor rgb="FFDDEBF7"/>
      <rgbColor rgb="FF660066"/>
      <rgbColor rgb="FFDDA15E"/>
      <rgbColor rgb="FFFFFBEC"/>
      <rgbColor rgb="FFD9E1F2"/>
      <rgbColor rgb="FF000080"/>
      <rgbColor rgb="FFFF00FF"/>
      <rgbColor rgb="FFFFF4D9"/>
      <rgbColor rgb="FFFAF5E8"/>
      <rgbColor rgb="FF800080"/>
      <rgbColor rgb="FF800000"/>
      <rgbColor rgb="FFFDFAF1"/>
      <rgbColor rgb="FF0000FF"/>
      <rgbColor rgb="FFFEF1E0"/>
      <rgbColor rgb="FFD4EDDA"/>
      <rgbColor rgb="FFC6EFCE"/>
      <rgbColor rgb="FFFFEB9C"/>
      <rgbColor rgb="FFB7E4C7"/>
      <rgbColor rgb="FFFADBD8"/>
      <rgbColor rgb="FFE8E1C8"/>
      <rgbColor rgb="FFFFC7CE"/>
      <rgbColor rgb="FF6F6E6A"/>
      <rgbColor rgb="FFF2F2F2"/>
      <rgbColor rgb="FFEDEBE6"/>
      <rgbColor rgb="FFFFE5E5"/>
      <rgbColor rgb="FF9C6500"/>
      <rgbColor rgb="FFB85C00"/>
      <rgbColor rgb="FF666666"/>
      <rgbColor rgb="FF999999"/>
      <rgbColor rgb="FF595959"/>
      <rgbColor rgb="FF52B788"/>
      <rgbColor rgb="FF0F5132"/>
      <rgbColor rgb="FF1B4332"/>
      <rgbColor rgb="FF9C2929"/>
      <rgbColor rgb="FF5C5854"/>
      <rgbColor rgb="FF1F4E78"/>
      <rgbColor rgb="FF2C2A2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
</Relationships>
</file>

<file path=xl/drawings/_rels/drawing2.xml.rels><?xml version="1.0" encoding="UTF-8"?>
<Relationships xmlns="http://schemas.openxmlformats.org/package/2006/relationships"><Relationship Id="rId1" Type="http://schemas.openxmlformats.org/officeDocument/2006/relationships/image" Target="../media/image4.png"/>
</Relationships>
</file>

<file path=xl/drawings/_rels/drawing3.xml.rels><?xml version="1.0" encoding="UTF-8"?>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
</Relationships>
</file>

<file path=xl/drawings/_rels/drawing4.xml.rels><?xml version="1.0" encoding="UTF-8"?>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 Id="rId3" Type="http://schemas.openxmlformats.org/officeDocument/2006/relationships/image" Target="../media/image9.png"/>
</Relationships>
</file>

<file path=xl/drawings/_rels/drawing5.xml.rels><?xml version="1.0" encoding="UTF-8"?>
<Relationships xmlns="http://schemas.openxmlformats.org/package/2006/relationships"><Relationship Id="rId1" Type="http://schemas.openxmlformats.org/officeDocument/2006/relationships/image" Target="../media/image10.png"/>
</Relationships>
</file>

<file path=xl/drawings/_rels/drawing6.xml.rels><?xml version="1.0" encoding="UTF-8"?>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12.png"/><Relationship Id="rId3" Type="http://schemas.openxmlformats.org/officeDocument/2006/relationships/image" Target="../media/image13.png"/>
</Relationships>
</file>

<file path=xl/drawings/_rels/drawing7.xml.rels><?xml version="1.0" encoding="UTF-8"?>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15.png"/>
</Relationships>
</file>

<file path=xl/drawings/_rels/drawing8.xml.rels><?xml version="1.0" encoding="UTF-8"?>
<Relationships xmlns="http://schemas.openxmlformats.org/package/2006/relationships"><Relationship Id="rId1" Type="http://schemas.openxmlformats.org/officeDocument/2006/relationships/image" Target="../media/image16.png"/>
</Relationships>
</file>

<file path=xl/drawings/_rels/drawing9.xml.rels><?xml version="1.0" encoding="UTF-8"?>
<Relationships xmlns="http://schemas.openxmlformats.org/package/2006/relationships"><Relationship Id="rId1" Type="http://schemas.openxmlformats.org/officeDocument/2006/relationships/image" Target="../media/image17.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89</xdr:row>
      <xdr:rowOff>0</xdr:rowOff>
    </xdr:from>
    <xdr:to>
      <xdr:col>8</xdr:col>
      <xdr:colOff>146880</xdr:colOff>
      <xdr:row>102</xdr:row>
      <xdr:rowOff>74520</xdr:rowOff>
    </xdr:to>
    <xdr:pic>
      <xdr:nvPicPr>
        <xdr:cNvPr id="0" name="Image 1" descr="Picture"/>
        <xdr:cNvPicPr/>
      </xdr:nvPicPr>
      <xdr:blipFill>
        <a:blip r:embed="rId1"/>
        <a:stretch/>
      </xdr:blipFill>
      <xdr:spPr>
        <a:xfrm>
          <a:off x="211320" y="20202480"/>
          <a:ext cx="7618320" cy="2550960"/>
        </a:xfrm>
        <a:prstGeom prst="rect">
          <a:avLst/>
        </a:prstGeom>
        <a:ln w="0">
          <a:noFill/>
        </a:ln>
      </xdr:spPr>
    </xdr:pic>
    <xdr:clientData/>
  </xdr:twoCellAnchor>
  <xdr:twoCellAnchor editAs="oneCell">
    <xdr:from>
      <xdr:col>1</xdr:col>
      <xdr:colOff>0</xdr:colOff>
      <xdr:row>109</xdr:row>
      <xdr:rowOff>0</xdr:rowOff>
    </xdr:from>
    <xdr:to>
      <xdr:col>8</xdr:col>
      <xdr:colOff>146880</xdr:colOff>
      <xdr:row>127</xdr:row>
      <xdr:rowOff>36360</xdr:rowOff>
    </xdr:to>
    <xdr:pic>
      <xdr:nvPicPr>
        <xdr:cNvPr id="1" name="Image 2" descr="Picture"/>
        <xdr:cNvPicPr/>
      </xdr:nvPicPr>
      <xdr:blipFill>
        <a:blip r:embed="rId2"/>
        <a:stretch/>
      </xdr:blipFill>
      <xdr:spPr>
        <a:xfrm>
          <a:off x="211320" y="24012360"/>
          <a:ext cx="7618320" cy="3465360"/>
        </a:xfrm>
        <a:prstGeom prst="rect">
          <a:avLst/>
        </a:prstGeom>
        <a:ln w="0">
          <a:noFill/>
        </a:ln>
      </xdr:spPr>
    </xdr:pic>
    <xdr:clientData/>
  </xdr:twoCellAnchor>
  <xdr:twoCellAnchor editAs="oneCell">
    <xdr:from>
      <xdr:col>1</xdr:col>
      <xdr:colOff>0</xdr:colOff>
      <xdr:row>131</xdr:row>
      <xdr:rowOff>0</xdr:rowOff>
    </xdr:from>
    <xdr:to>
      <xdr:col>8</xdr:col>
      <xdr:colOff>146880</xdr:colOff>
      <xdr:row>147</xdr:row>
      <xdr:rowOff>141120</xdr:rowOff>
    </xdr:to>
    <xdr:pic>
      <xdr:nvPicPr>
        <xdr:cNvPr id="2" name="Image 3" descr="Picture"/>
        <xdr:cNvPicPr/>
      </xdr:nvPicPr>
      <xdr:blipFill>
        <a:blip r:embed="rId3"/>
        <a:stretch/>
      </xdr:blipFill>
      <xdr:spPr>
        <a:xfrm>
          <a:off x="211320" y="28203480"/>
          <a:ext cx="7618320" cy="318924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16</xdr:row>
      <xdr:rowOff>0</xdr:rowOff>
    </xdr:from>
    <xdr:to>
      <xdr:col>14</xdr:col>
      <xdr:colOff>341280</xdr:colOff>
      <xdr:row>38</xdr:row>
      <xdr:rowOff>208080</xdr:rowOff>
    </xdr:to>
    <xdr:pic>
      <xdr:nvPicPr>
        <xdr:cNvPr id="3" name="Image 1" descr="Picture"/>
        <xdr:cNvPicPr/>
      </xdr:nvPicPr>
      <xdr:blipFill>
        <a:blip r:embed="rId1"/>
        <a:stretch/>
      </xdr:blipFill>
      <xdr:spPr>
        <a:xfrm>
          <a:off x="141120" y="3657600"/>
          <a:ext cx="8094600" cy="628488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0</xdr:colOff>
      <xdr:row>2</xdr:row>
      <xdr:rowOff>0</xdr:rowOff>
    </xdr:from>
    <xdr:to>
      <xdr:col>24</xdr:col>
      <xdr:colOff>327960</xdr:colOff>
      <xdr:row>15</xdr:row>
      <xdr:rowOff>150840</xdr:rowOff>
    </xdr:to>
    <xdr:pic>
      <xdr:nvPicPr>
        <xdr:cNvPr id="4" name="Image 1" descr="Picture"/>
        <xdr:cNvPicPr/>
      </xdr:nvPicPr>
      <xdr:blipFill>
        <a:blip r:embed="rId1"/>
        <a:stretch/>
      </xdr:blipFill>
      <xdr:spPr>
        <a:xfrm>
          <a:off x="8740080" y="685800"/>
          <a:ext cx="7618320" cy="2570040"/>
        </a:xfrm>
        <a:prstGeom prst="rect">
          <a:avLst/>
        </a:prstGeom>
        <a:ln w="0">
          <a:noFill/>
        </a:ln>
      </xdr:spPr>
    </xdr:pic>
    <xdr:clientData/>
  </xdr:twoCellAnchor>
  <xdr:twoCellAnchor editAs="oneCell">
    <xdr:from>
      <xdr:col>12</xdr:col>
      <xdr:colOff>0</xdr:colOff>
      <xdr:row>26</xdr:row>
      <xdr:rowOff>0</xdr:rowOff>
    </xdr:from>
    <xdr:to>
      <xdr:col>24</xdr:col>
      <xdr:colOff>327960</xdr:colOff>
      <xdr:row>38</xdr:row>
      <xdr:rowOff>188640</xdr:rowOff>
    </xdr:to>
    <xdr:pic>
      <xdr:nvPicPr>
        <xdr:cNvPr id="5" name="Image 2" descr="Picture"/>
        <xdr:cNvPicPr/>
      </xdr:nvPicPr>
      <xdr:blipFill>
        <a:blip r:embed="rId2"/>
        <a:stretch/>
      </xdr:blipFill>
      <xdr:spPr>
        <a:xfrm>
          <a:off x="8740080" y="5200560"/>
          <a:ext cx="7618320" cy="247464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26</xdr:row>
      <xdr:rowOff>0</xdr:rowOff>
    </xdr:from>
    <xdr:to>
      <xdr:col>11</xdr:col>
      <xdr:colOff>569880</xdr:colOff>
      <xdr:row>47</xdr:row>
      <xdr:rowOff>102960</xdr:rowOff>
    </xdr:to>
    <xdr:pic>
      <xdr:nvPicPr>
        <xdr:cNvPr id="6" name="Image 1" descr="Picture"/>
        <xdr:cNvPicPr/>
      </xdr:nvPicPr>
      <xdr:blipFill>
        <a:blip r:embed="rId1"/>
        <a:stretch/>
      </xdr:blipFill>
      <xdr:spPr>
        <a:xfrm>
          <a:off x="846000" y="6858000"/>
          <a:ext cx="7618320" cy="4103640"/>
        </a:xfrm>
        <a:prstGeom prst="rect">
          <a:avLst/>
        </a:prstGeom>
        <a:ln w="0">
          <a:noFill/>
        </a:ln>
      </xdr:spPr>
    </xdr:pic>
    <xdr:clientData/>
  </xdr:twoCellAnchor>
  <xdr:twoCellAnchor editAs="oneCell">
    <xdr:from>
      <xdr:col>1</xdr:col>
      <xdr:colOff>0</xdr:colOff>
      <xdr:row>57</xdr:row>
      <xdr:rowOff>0</xdr:rowOff>
    </xdr:from>
    <xdr:to>
      <xdr:col>11</xdr:col>
      <xdr:colOff>569880</xdr:colOff>
      <xdr:row>74</xdr:row>
      <xdr:rowOff>122040</xdr:rowOff>
    </xdr:to>
    <xdr:pic>
      <xdr:nvPicPr>
        <xdr:cNvPr id="7" name="Image 2" descr="Picture"/>
        <xdr:cNvPicPr/>
      </xdr:nvPicPr>
      <xdr:blipFill>
        <a:blip r:embed="rId2"/>
        <a:stretch/>
      </xdr:blipFill>
      <xdr:spPr>
        <a:xfrm>
          <a:off x="846000" y="12763440"/>
          <a:ext cx="7618320" cy="3360600"/>
        </a:xfrm>
        <a:prstGeom prst="rect">
          <a:avLst/>
        </a:prstGeom>
        <a:ln w="0">
          <a:noFill/>
        </a:ln>
      </xdr:spPr>
    </xdr:pic>
    <xdr:clientData/>
  </xdr:twoCellAnchor>
  <xdr:twoCellAnchor editAs="oneCell">
    <xdr:from>
      <xdr:col>1</xdr:col>
      <xdr:colOff>0</xdr:colOff>
      <xdr:row>87</xdr:row>
      <xdr:rowOff>0</xdr:rowOff>
    </xdr:from>
    <xdr:to>
      <xdr:col>11</xdr:col>
      <xdr:colOff>569880</xdr:colOff>
      <xdr:row>106</xdr:row>
      <xdr:rowOff>141120</xdr:rowOff>
    </xdr:to>
    <xdr:pic>
      <xdr:nvPicPr>
        <xdr:cNvPr id="8" name="Image 3" descr="Picture"/>
        <xdr:cNvPicPr/>
      </xdr:nvPicPr>
      <xdr:blipFill>
        <a:blip r:embed="rId3"/>
        <a:stretch/>
      </xdr:blipFill>
      <xdr:spPr>
        <a:xfrm>
          <a:off x="846000" y="18478440"/>
          <a:ext cx="7618320" cy="376056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20</xdr:row>
      <xdr:rowOff>0</xdr:rowOff>
    </xdr:from>
    <xdr:to>
      <xdr:col>5</xdr:col>
      <xdr:colOff>2261520</xdr:colOff>
      <xdr:row>35</xdr:row>
      <xdr:rowOff>121680</xdr:rowOff>
    </xdr:to>
    <xdr:pic>
      <xdr:nvPicPr>
        <xdr:cNvPr id="9" name="Image 1" descr="Picture"/>
        <xdr:cNvPicPr/>
      </xdr:nvPicPr>
      <xdr:blipFill>
        <a:blip r:embed="rId1"/>
        <a:stretch/>
      </xdr:blipFill>
      <xdr:spPr>
        <a:xfrm>
          <a:off x="281880" y="4800600"/>
          <a:ext cx="7618320" cy="297936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31</xdr:row>
      <xdr:rowOff>0</xdr:rowOff>
    </xdr:from>
    <xdr:to>
      <xdr:col>6</xdr:col>
      <xdr:colOff>2718360</xdr:colOff>
      <xdr:row>48</xdr:row>
      <xdr:rowOff>7560</xdr:rowOff>
    </xdr:to>
    <xdr:pic>
      <xdr:nvPicPr>
        <xdr:cNvPr id="10" name="Image 1" descr="Picture"/>
        <xdr:cNvPicPr/>
      </xdr:nvPicPr>
      <xdr:blipFill>
        <a:blip r:embed="rId1"/>
        <a:stretch/>
      </xdr:blipFill>
      <xdr:spPr>
        <a:xfrm>
          <a:off x="281880" y="8238960"/>
          <a:ext cx="6665760" cy="3246120"/>
        </a:xfrm>
        <a:prstGeom prst="rect">
          <a:avLst/>
        </a:prstGeom>
        <a:ln w="0">
          <a:noFill/>
        </a:ln>
      </xdr:spPr>
    </xdr:pic>
    <xdr:clientData/>
  </xdr:twoCellAnchor>
  <xdr:twoCellAnchor editAs="oneCell">
    <xdr:from>
      <xdr:col>1</xdr:col>
      <xdr:colOff>0</xdr:colOff>
      <xdr:row>57</xdr:row>
      <xdr:rowOff>0</xdr:rowOff>
    </xdr:from>
    <xdr:to>
      <xdr:col>6</xdr:col>
      <xdr:colOff>2718360</xdr:colOff>
      <xdr:row>74</xdr:row>
      <xdr:rowOff>45720</xdr:rowOff>
    </xdr:to>
    <xdr:pic>
      <xdr:nvPicPr>
        <xdr:cNvPr id="11" name="Image 2" descr="Picture"/>
        <xdr:cNvPicPr/>
      </xdr:nvPicPr>
      <xdr:blipFill>
        <a:blip r:embed="rId2"/>
        <a:stretch/>
      </xdr:blipFill>
      <xdr:spPr>
        <a:xfrm>
          <a:off x="281880" y="13192200"/>
          <a:ext cx="6665760" cy="3284280"/>
        </a:xfrm>
        <a:prstGeom prst="rect">
          <a:avLst/>
        </a:prstGeom>
        <a:ln w="0">
          <a:noFill/>
        </a:ln>
      </xdr:spPr>
    </xdr:pic>
    <xdr:clientData/>
  </xdr:twoCellAnchor>
  <xdr:twoCellAnchor editAs="oneCell">
    <xdr:from>
      <xdr:col>11</xdr:col>
      <xdr:colOff>0</xdr:colOff>
      <xdr:row>18</xdr:row>
      <xdr:rowOff>0</xdr:rowOff>
    </xdr:from>
    <xdr:to>
      <xdr:col>21</xdr:col>
      <xdr:colOff>550440</xdr:colOff>
      <xdr:row>30</xdr:row>
      <xdr:rowOff>160200</xdr:rowOff>
    </xdr:to>
    <xdr:pic>
      <xdr:nvPicPr>
        <xdr:cNvPr id="12" name="Image 3" descr="Picture"/>
        <xdr:cNvPicPr/>
      </xdr:nvPicPr>
      <xdr:blipFill>
        <a:blip r:embed="rId3"/>
        <a:stretch/>
      </xdr:blipFill>
      <xdr:spPr>
        <a:xfrm>
          <a:off x="10667880" y="4514760"/>
          <a:ext cx="6665760" cy="369396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28</xdr:row>
      <xdr:rowOff>0</xdr:rowOff>
    </xdr:from>
    <xdr:to>
      <xdr:col>45</xdr:col>
      <xdr:colOff>43920</xdr:colOff>
      <xdr:row>51</xdr:row>
      <xdr:rowOff>55800</xdr:rowOff>
    </xdr:to>
    <xdr:pic>
      <xdr:nvPicPr>
        <xdr:cNvPr id="13" name="Image 1" descr="Picture"/>
        <xdr:cNvPicPr/>
      </xdr:nvPicPr>
      <xdr:blipFill>
        <a:blip r:embed="rId1"/>
        <a:stretch/>
      </xdr:blipFill>
      <xdr:spPr>
        <a:xfrm>
          <a:off x="0" y="5915160"/>
          <a:ext cx="10475640" cy="4437000"/>
        </a:xfrm>
        <a:prstGeom prst="rect">
          <a:avLst/>
        </a:prstGeom>
        <a:ln w="0">
          <a:noFill/>
        </a:ln>
      </xdr:spPr>
    </xdr:pic>
    <xdr:clientData/>
  </xdr:twoCellAnchor>
  <xdr:twoCellAnchor editAs="oneCell">
    <xdr:from>
      <xdr:col>0</xdr:col>
      <xdr:colOff>0</xdr:colOff>
      <xdr:row>58</xdr:row>
      <xdr:rowOff>0</xdr:rowOff>
    </xdr:from>
    <xdr:to>
      <xdr:col>45</xdr:col>
      <xdr:colOff>43920</xdr:colOff>
      <xdr:row>81</xdr:row>
      <xdr:rowOff>55800</xdr:rowOff>
    </xdr:to>
    <xdr:pic>
      <xdr:nvPicPr>
        <xdr:cNvPr id="14" name="Image 2" descr="Picture"/>
        <xdr:cNvPicPr/>
      </xdr:nvPicPr>
      <xdr:blipFill>
        <a:blip r:embed="rId2"/>
        <a:stretch/>
      </xdr:blipFill>
      <xdr:spPr>
        <a:xfrm>
          <a:off x="0" y="11630160"/>
          <a:ext cx="10475640" cy="443700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56</xdr:row>
      <xdr:rowOff>0</xdr:rowOff>
    </xdr:from>
    <xdr:to>
      <xdr:col>6</xdr:col>
      <xdr:colOff>1556640</xdr:colOff>
      <xdr:row>75</xdr:row>
      <xdr:rowOff>131760</xdr:rowOff>
    </xdr:to>
    <xdr:pic>
      <xdr:nvPicPr>
        <xdr:cNvPr id="15" name="Image 1" descr="Picture"/>
        <xdr:cNvPicPr/>
      </xdr:nvPicPr>
      <xdr:blipFill>
        <a:blip r:embed="rId1"/>
        <a:stretch/>
      </xdr:blipFill>
      <xdr:spPr>
        <a:xfrm>
          <a:off x="281880" y="13782600"/>
          <a:ext cx="7618320" cy="375120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19</xdr:col>
      <xdr:colOff>0</xdr:colOff>
      <xdr:row>5</xdr:row>
      <xdr:rowOff>0</xdr:rowOff>
    </xdr:from>
    <xdr:to>
      <xdr:col>27</xdr:col>
      <xdr:colOff>352440</xdr:colOff>
      <xdr:row>22</xdr:row>
      <xdr:rowOff>65160</xdr:rowOff>
    </xdr:to>
    <xdr:pic>
      <xdr:nvPicPr>
        <xdr:cNvPr id="16" name="Image 1" descr="Picture"/>
        <xdr:cNvPicPr/>
      </xdr:nvPicPr>
      <xdr:blipFill>
        <a:blip r:embed="rId1"/>
        <a:stretch/>
      </xdr:blipFill>
      <xdr:spPr>
        <a:xfrm>
          <a:off x="17457480" y="1362240"/>
          <a:ext cx="5713200" cy="467496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_rels/sheet11.xml.rels><?xml version="1.0" encoding="UTF-8"?>
<Relationships xmlns="http://schemas.openxmlformats.org/package/2006/relationships"><Relationship Id="rId1"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4332"/>
    <pageSetUpPr fitToPage="true"/>
  </sheetPr>
  <dimension ref="A2:G4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2"/>
    <col collapsed="false" customWidth="true" hidden="false" outlineLevel="0" max="3" min="3" style="1" width="70"/>
  </cols>
  <sheetData>
    <row r="2" customFormat="false" ht="36" hidden="false" customHeight="true" outlineLevel="0" collapsed="false">
      <c r="A2" s="2" t="s">
        <v>0</v>
      </c>
      <c r="B2" s="2"/>
      <c r="C2" s="2"/>
    </row>
    <row r="3" customFormat="false" ht="18" hidden="false" customHeight="true" outlineLevel="0" collapsed="false">
      <c r="A3" s="3" t="s">
        <v>1</v>
      </c>
      <c r="B3" s="3"/>
      <c r="C3" s="3"/>
    </row>
    <row r="4" customFormat="false" ht="3.75" hidden="false" customHeight="true" outlineLevel="0" collapsed="false">
      <c r="A4" s="4"/>
      <c r="B4" s="4"/>
      <c r="C4" s="4"/>
    </row>
    <row r="5" customFormat="false" ht="24" hidden="false" customHeight="true" outlineLevel="0" collapsed="false">
      <c r="A5" s="5" t="s">
        <v>2</v>
      </c>
      <c r="B5" s="5"/>
      <c r="C5" s="5"/>
    </row>
    <row r="6" customFormat="false" ht="49.5" hidden="false" customHeight="true" outlineLevel="0" collapsed="false">
      <c r="B6" s="6" t="s">
        <v>3</v>
      </c>
      <c r="C6" s="6"/>
    </row>
    <row r="8" customFormat="false" ht="24" hidden="false" customHeight="true" outlineLevel="0" collapsed="false">
      <c r="A8" s="5" t="s">
        <v>4</v>
      </c>
      <c r="B8" s="5"/>
      <c r="C8" s="5"/>
    </row>
    <row r="9" customFormat="false" ht="21.75" hidden="false" customHeight="true" outlineLevel="0" collapsed="false">
      <c r="B9" s="7" t="s">
        <v>5</v>
      </c>
      <c r="C9" s="8" t="s">
        <v>6</v>
      </c>
    </row>
    <row r="10" customFormat="false" ht="21.75" hidden="false" customHeight="true" outlineLevel="0" collapsed="false">
      <c r="B10" s="9" t="s">
        <v>7</v>
      </c>
      <c r="C10" s="8" t="s">
        <v>8</v>
      </c>
    </row>
    <row r="11" customFormat="false" ht="21.75" hidden="false" customHeight="true" outlineLevel="0" collapsed="false">
      <c r="B11" s="10" t="s">
        <v>9</v>
      </c>
      <c r="C11" s="8" t="s">
        <v>10</v>
      </c>
    </row>
    <row r="12" customFormat="false" ht="21.75" hidden="false" customHeight="true" outlineLevel="0" collapsed="false">
      <c r="B12" s="11" t="s">
        <v>11</v>
      </c>
      <c r="C12" s="8" t="s">
        <v>12</v>
      </c>
    </row>
    <row r="13" customFormat="false" ht="21.75" hidden="false" customHeight="true" outlineLevel="0" collapsed="false">
      <c r="B13" s="12" t="s">
        <v>13</v>
      </c>
      <c r="C13" s="8" t="s">
        <v>14</v>
      </c>
    </row>
    <row r="14" customFormat="false" ht="21.75" hidden="false" customHeight="true" outlineLevel="0" collapsed="false">
      <c r="A14" s="13" t="s">
        <v>15</v>
      </c>
      <c r="B14" s="13"/>
      <c r="C14" s="13"/>
      <c r="D14" s="13"/>
      <c r="E14" s="13"/>
      <c r="F14" s="13"/>
      <c r="G14" s="13"/>
    </row>
    <row r="15" customFormat="false" ht="90" hidden="false" customHeight="true" outlineLevel="0" collapsed="false">
      <c r="A15" s="14" t="s">
        <v>16</v>
      </c>
      <c r="B15" s="14"/>
      <c r="C15" s="14"/>
      <c r="D15" s="14"/>
      <c r="E15" s="14"/>
      <c r="F15" s="14"/>
      <c r="G15" s="14"/>
    </row>
    <row r="16" customFormat="false" ht="24" hidden="false" customHeight="true" outlineLevel="0" collapsed="false">
      <c r="A16" s="5" t="s">
        <v>17</v>
      </c>
      <c r="B16" s="5"/>
      <c r="C16" s="5"/>
    </row>
    <row r="17" customFormat="false" ht="31.5" hidden="false" customHeight="true" outlineLevel="0" collapsed="false">
      <c r="B17" s="15" t="s">
        <v>18</v>
      </c>
      <c r="C17" s="8" t="s">
        <v>19</v>
      </c>
    </row>
    <row r="18" customFormat="false" ht="31.5" hidden="false" customHeight="true" outlineLevel="0" collapsed="false">
      <c r="B18" s="16" t="s">
        <v>20</v>
      </c>
      <c r="C18" s="17" t="s">
        <v>21</v>
      </c>
    </row>
    <row r="19" customFormat="false" ht="31.5" hidden="false" customHeight="true" outlineLevel="0" collapsed="false">
      <c r="B19" s="15" t="s">
        <v>22</v>
      </c>
      <c r="C19" s="8" t="s">
        <v>23</v>
      </c>
    </row>
    <row r="20" customFormat="false" ht="31.5" hidden="false" customHeight="true" outlineLevel="0" collapsed="false">
      <c r="B20" s="16" t="s">
        <v>24</v>
      </c>
      <c r="C20" s="17" t="s">
        <v>25</v>
      </c>
    </row>
    <row r="21" customFormat="false" ht="31.5" hidden="false" customHeight="true" outlineLevel="0" collapsed="false">
      <c r="B21" s="15" t="s">
        <v>26</v>
      </c>
      <c r="C21" s="8" t="s">
        <v>27</v>
      </c>
    </row>
    <row r="22" customFormat="false" ht="31.5" hidden="false" customHeight="true" outlineLevel="0" collapsed="false">
      <c r="B22" s="16" t="s">
        <v>28</v>
      </c>
      <c r="C22" s="17" t="s">
        <v>29</v>
      </c>
    </row>
    <row r="23" customFormat="false" ht="31.5" hidden="false" customHeight="true" outlineLevel="0" collapsed="false">
      <c r="B23" s="15" t="s">
        <v>30</v>
      </c>
      <c r="C23" s="8" t="s">
        <v>31</v>
      </c>
    </row>
    <row r="24" customFormat="false" ht="31.5" hidden="false" customHeight="true" outlineLevel="0" collapsed="false">
      <c r="B24" s="16" t="s">
        <v>32</v>
      </c>
      <c r="C24" s="17" t="s">
        <v>33</v>
      </c>
    </row>
    <row r="25" customFormat="false" ht="31.5" hidden="false" customHeight="true" outlineLevel="0" collapsed="false">
      <c r="B25" s="15" t="s">
        <v>34</v>
      </c>
      <c r="C25" s="8" t="s">
        <v>35</v>
      </c>
    </row>
    <row r="26" customFormat="false" ht="31.5" hidden="false" customHeight="true" outlineLevel="0" collapsed="false">
      <c r="B26" s="16" t="s">
        <v>36</v>
      </c>
      <c r="C26" s="17" t="s">
        <v>37</v>
      </c>
    </row>
    <row r="27" customFormat="false" ht="19.5" hidden="false" customHeight="true" outlineLevel="0" collapsed="false">
      <c r="B27" s="15" t="s">
        <v>38</v>
      </c>
      <c r="C27" s="8" t="s">
        <v>39</v>
      </c>
    </row>
    <row r="28" customFormat="false" ht="15" hidden="false" customHeight="true" outlineLevel="0" collapsed="false">
      <c r="A28" s="1" t="s">
        <v>40</v>
      </c>
      <c r="B28" s="1" t="s">
        <v>41</v>
      </c>
      <c r="C28" s="1" t="s">
        <v>42</v>
      </c>
    </row>
    <row r="30" customFormat="false" ht="24" hidden="false" customHeight="true" outlineLevel="0" collapsed="false">
      <c r="A30" s="5" t="s">
        <v>43</v>
      </c>
      <c r="B30" s="5"/>
      <c r="C30" s="5"/>
    </row>
    <row r="31" customFormat="false" ht="15" hidden="false" customHeight="true" outlineLevel="0" collapsed="false">
      <c r="B31" s="6" t="s">
        <v>44</v>
      </c>
      <c r="C31" s="6"/>
    </row>
    <row r="32" customFormat="false" ht="15" hidden="false" customHeight="true" outlineLevel="0" collapsed="false">
      <c r="B32" s="6" t="s">
        <v>45</v>
      </c>
      <c r="C32" s="6"/>
    </row>
    <row r="33" customFormat="false" ht="15" hidden="false" customHeight="true" outlineLevel="0" collapsed="false">
      <c r="B33" s="6" t="s">
        <v>46</v>
      </c>
      <c r="C33" s="6"/>
    </row>
    <row r="34" customFormat="false" ht="15" hidden="false" customHeight="true" outlineLevel="0" collapsed="false">
      <c r="B34" s="6" t="s">
        <v>47</v>
      </c>
      <c r="C34" s="6"/>
    </row>
    <row r="35" customFormat="false" ht="15" hidden="false" customHeight="true" outlineLevel="0" collapsed="false">
      <c r="B35" s="6" t="s">
        <v>48</v>
      </c>
      <c r="C35" s="6"/>
    </row>
    <row r="38" customFormat="false" ht="24" hidden="false" customHeight="true" outlineLevel="0" collapsed="false">
      <c r="A38" s="5" t="s">
        <v>49</v>
      </c>
      <c r="B38" s="5"/>
      <c r="C38" s="5"/>
    </row>
    <row r="39" customFormat="false" ht="49.5" hidden="false" customHeight="true" outlineLevel="0" collapsed="false">
      <c r="B39" s="18" t="s">
        <v>50</v>
      </c>
      <c r="C39" s="18"/>
    </row>
    <row r="45" customFormat="false" ht="24" hidden="false" customHeight="true" outlineLevel="0" collapsed="false">
      <c r="A45" s="5" t="s">
        <v>51</v>
      </c>
      <c r="B45" s="5"/>
      <c r="C45" s="5"/>
    </row>
    <row r="46" customFormat="false" ht="49.5" hidden="false" customHeight="true" outlineLevel="0" collapsed="false">
      <c r="A46" s="19" t="s">
        <v>52</v>
      </c>
      <c r="B46" s="19"/>
      <c r="C46" s="19"/>
    </row>
  </sheetData>
  <mergeCells count="18">
    <mergeCell ref="A2:C2"/>
    <mergeCell ref="A3:C3"/>
    <mergeCell ref="A5:C5"/>
    <mergeCell ref="B6:C6"/>
    <mergeCell ref="A8:C8"/>
    <mergeCell ref="A14:G14"/>
    <mergeCell ref="A15:G15"/>
    <mergeCell ref="A16:C16"/>
    <mergeCell ref="A30:C30"/>
    <mergeCell ref="B31:C31"/>
    <mergeCell ref="B32:C32"/>
    <mergeCell ref="B33:C33"/>
    <mergeCell ref="B34:C34"/>
    <mergeCell ref="B35:C35"/>
    <mergeCell ref="A38:C38"/>
    <mergeCell ref="B39:C39"/>
    <mergeCell ref="A45:C45"/>
    <mergeCell ref="A46:C46"/>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C4749"/>
    <pageSetUpPr fitToPage="true"/>
  </sheetPr>
  <dimension ref="A1:N8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2"/>
    <col collapsed="false" customWidth="true" hidden="false" outlineLevel="0" max="8" min="3" style="1" width="14"/>
    <col collapsed="false" customWidth="true" hidden="false" outlineLevel="0" max="11" min="9" style="1" width="12"/>
    <col collapsed="false" customWidth="true" hidden="false" outlineLevel="0" max="12" min="12" style="1" width="9"/>
    <col collapsed="false" customWidth="true" hidden="false" outlineLevel="0" max="13" min="13" style="1" width="14"/>
    <col collapsed="false" customWidth="true" hidden="false" outlineLevel="0" max="14" min="14" style="1" width="3"/>
  </cols>
  <sheetData>
    <row r="1" customFormat="false" ht="36" hidden="false" customHeight="true" outlineLevel="0" collapsed="false">
      <c r="A1" s="20"/>
      <c r="B1" s="2" t="s">
        <v>53</v>
      </c>
      <c r="C1" s="2"/>
      <c r="D1" s="2"/>
      <c r="E1" s="2"/>
      <c r="F1" s="2"/>
      <c r="G1" s="2"/>
      <c r="H1" s="2"/>
      <c r="I1" s="2"/>
      <c r="J1" s="2"/>
      <c r="K1" s="2"/>
      <c r="L1" s="2"/>
      <c r="M1" s="2"/>
      <c r="N1" s="2"/>
    </row>
    <row r="2" customFormat="false" ht="18" hidden="false" customHeight="true" outlineLevel="0" collapsed="false">
      <c r="A2" s="20"/>
      <c r="B2" s="3" t="s">
        <v>54</v>
      </c>
      <c r="C2" s="3"/>
      <c r="D2" s="3"/>
      <c r="E2" s="3"/>
      <c r="F2" s="3"/>
      <c r="G2" s="3"/>
      <c r="H2" s="3"/>
      <c r="I2" s="3"/>
      <c r="J2" s="3"/>
      <c r="K2" s="3"/>
      <c r="L2" s="3"/>
      <c r="M2" s="3"/>
      <c r="N2" s="3"/>
    </row>
    <row r="3" customFormat="false" ht="3.75" hidden="false" customHeight="true" outlineLevel="0" collapsed="false">
      <c r="A3" s="4"/>
      <c r="B3" s="4"/>
      <c r="C3" s="4"/>
      <c r="D3" s="4"/>
      <c r="E3" s="4"/>
      <c r="F3" s="4"/>
      <c r="G3" s="4"/>
      <c r="H3" s="4"/>
      <c r="I3" s="4"/>
      <c r="J3" s="4"/>
      <c r="K3" s="4"/>
      <c r="L3" s="4"/>
      <c r="M3" s="4"/>
      <c r="N3" s="4"/>
    </row>
    <row r="5" customFormat="false" ht="24" hidden="false" customHeight="true" outlineLevel="0" collapsed="false">
      <c r="A5" s="21"/>
      <c r="B5" s="5" t="s">
        <v>55</v>
      </c>
      <c r="C5" s="5"/>
      <c r="D5" s="5"/>
      <c r="E5" s="5"/>
      <c r="F5" s="5"/>
      <c r="G5" s="5"/>
      <c r="H5" s="5"/>
      <c r="I5" s="5"/>
      <c r="J5" s="5"/>
      <c r="K5" s="5"/>
      <c r="L5" s="5"/>
      <c r="M5" s="5"/>
      <c r="N5" s="5"/>
    </row>
    <row r="7" customFormat="false" ht="15" hidden="false" customHeight="true" outlineLevel="0" collapsed="false">
      <c r="B7" s="22" t="s">
        <v>56</v>
      </c>
      <c r="C7" s="23" t="s">
        <v>57</v>
      </c>
      <c r="D7" s="24" t="s">
        <v>58</v>
      </c>
      <c r="E7" s="24"/>
      <c r="F7" s="24"/>
      <c r="G7" s="24"/>
      <c r="H7" s="24"/>
      <c r="I7" s="24"/>
      <c r="J7" s="24"/>
      <c r="K7" s="24"/>
      <c r="L7" s="24"/>
      <c r="M7" s="24"/>
      <c r="N7" s="24"/>
    </row>
    <row r="8" customFormat="false" ht="15" hidden="false" customHeight="true" outlineLevel="0" collapsed="false">
      <c r="B8" s="22" t="s">
        <v>59</v>
      </c>
      <c r="C8" s="23" t="s">
        <v>60</v>
      </c>
      <c r="D8" s="24" t="s">
        <v>61</v>
      </c>
      <c r="E8" s="24"/>
      <c r="F8" s="24"/>
      <c r="G8" s="24"/>
      <c r="H8" s="24"/>
      <c r="I8" s="24"/>
      <c r="J8" s="24"/>
      <c r="K8" s="24"/>
      <c r="L8" s="24"/>
      <c r="M8" s="24"/>
      <c r="N8" s="24"/>
    </row>
    <row r="9" customFormat="false" ht="15" hidden="false" customHeight="true" outlineLevel="0" collapsed="false">
      <c r="B9" s="22" t="s">
        <v>62</v>
      </c>
      <c r="C9" s="25" t="n">
        <f aca="false">CurrentDay</f>
        <v>50</v>
      </c>
      <c r="D9" s="24" t="s">
        <v>63</v>
      </c>
      <c r="E9" s="24"/>
      <c r="F9" s="24"/>
      <c r="G9" s="24"/>
      <c r="H9" s="24"/>
      <c r="I9" s="24"/>
      <c r="J9" s="24"/>
      <c r="K9" s="24"/>
      <c r="L9" s="24"/>
      <c r="M9" s="24"/>
      <c r="N9" s="24"/>
    </row>
    <row r="10" customFormat="false" ht="15" hidden="false" customHeight="true" outlineLevel="0" collapsed="false">
      <c r="B10" s="22" t="s">
        <v>64</v>
      </c>
      <c r="C10" s="25" t="n">
        <f aca="false">IF($C$7="Linked to Plots",INDEX(Plots!$D$7:$D$18,MATCH($C$8,Plots!$B$7:$B$18,0)),65)</f>
        <v>65</v>
      </c>
      <c r="D10" s="24" t="s">
        <v>65</v>
      </c>
      <c r="E10" s="24"/>
      <c r="F10" s="24"/>
      <c r="G10" s="24"/>
      <c r="H10" s="24"/>
      <c r="I10" s="24"/>
      <c r="J10" s="24"/>
      <c r="K10" s="24"/>
      <c r="L10" s="24"/>
      <c r="M10" s="24"/>
      <c r="N10" s="24"/>
    </row>
    <row r="11" customFormat="false" ht="15" hidden="false" customHeight="true" outlineLevel="0" collapsed="false">
      <c r="B11" s="22" t="s">
        <v>66</v>
      </c>
      <c r="C11" s="26" t="b">
        <f aca="false">IF($C$7="Linked to Plots",INDEX(Plots!$E$7:$E$18,MATCH($C$8,Plots!$B$7:$B$18,0)),FALSE())</f>
        <v>0</v>
      </c>
      <c r="D11" s="24" t="s">
        <v>67</v>
      </c>
      <c r="E11" s="24"/>
      <c r="F11" s="24"/>
      <c r="G11" s="24"/>
      <c r="H11" s="24"/>
      <c r="I11" s="24"/>
      <c r="J11" s="24"/>
      <c r="K11" s="24"/>
      <c r="L11" s="24"/>
      <c r="M11" s="24"/>
      <c r="N11" s="24"/>
    </row>
    <row r="12" customFormat="false" ht="27.75" hidden="false" customHeight="true" outlineLevel="0" collapsed="false">
      <c r="B12" s="22" t="s">
        <v>68</v>
      </c>
      <c r="C12" s="26" t="b">
        <f aca="false">HasPerk</f>
        <v>1</v>
      </c>
      <c r="D12" s="27" t="s">
        <v>69</v>
      </c>
      <c r="E12" s="27"/>
      <c r="F12" s="27"/>
      <c r="G12" s="27"/>
      <c r="H12" s="27"/>
      <c r="I12" s="27"/>
      <c r="J12" s="27"/>
      <c r="K12" s="27"/>
      <c r="L12" s="27"/>
      <c r="M12" s="27"/>
      <c r="N12" s="27"/>
    </row>
    <row r="13" customFormat="false" ht="27.75" hidden="false" customHeight="true" outlineLevel="0" collapsed="false">
      <c r="B13" s="22" t="s">
        <v>70</v>
      </c>
      <c r="C13" s="26" t="b">
        <f aca="false">TRUE()</f>
        <v>1</v>
      </c>
      <c r="D13" s="24" t="s">
        <v>71</v>
      </c>
      <c r="E13" s="24"/>
      <c r="F13" s="24"/>
      <c r="G13" s="24"/>
      <c r="H13" s="24"/>
      <c r="I13" s="24"/>
      <c r="J13" s="24"/>
      <c r="K13" s="24"/>
      <c r="L13" s="24"/>
      <c r="M13" s="24"/>
      <c r="N13" s="24"/>
    </row>
    <row r="14" customFormat="false" ht="21.75" hidden="false" customHeight="true" outlineLevel="0" collapsed="false">
      <c r="B14" s="22" t="s">
        <v>72</v>
      </c>
      <c r="C14" s="23" t="s">
        <v>73</v>
      </c>
      <c r="D14" s="28" t="str">
        <f aca="false">IF($C$14="None","(no fertilizer)","+"&amp;IFERROR(VLOOKUP($C$14,Fertilizers!$B$6:$E$9,2,FALSE()),0)&amp;"N · +"&amp;IFERROR(VLOOKUP($C$14,Fertilizers!$B$6:$E$9,3,FALSE()),0)&amp;"P · +"&amp;IFERROR(VLOOKUP($C$14,Fertilizers!$B$6:$E$9,4,FALSE()),0)&amp;"K to slow-release pool")</f>
        <v>(no fertilizer)</v>
      </c>
      <c r="E14" s="28"/>
      <c r="F14" s="28"/>
      <c r="G14" s="28"/>
      <c r="H14" s="28"/>
      <c r="I14" s="29" t="s">
        <v>74</v>
      </c>
      <c r="J14" s="29"/>
      <c r="K14" s="29"/>
      <c r="L14" s="29"/>
      <c r="M14" s="29"/>
      <c r="N14" s="29"/>
    </row>
    <row r="15" customFormat="false" ht="15" hidden="false" customHeight="true" outlineLevel="0" collapsed="false">
      <c r="B15" s="30" t="s">
        <v>75</v>
      </c>
      <c r="C15" s="30"/>
      <c r="D15" s="30"/>
      <c r="E15" s="30"/>
      <c r="F15" s="30"/>
      <c r="G15" s="30"/>
      <c r="H15" s="30"/>
      <c r="I15" s="30"/>
      <c r="J15" s="30"/>
      <c r="K15" s="30"/>
      <c r="L15" s="30"/>
      <c r="M15" s="30"/>
      <c r="N15" s="30"/>
    </row>
    <row r="16" customFormat="false" ht="15" hidden="false" customHeight="true" outlineLevel="0" collapsed="false">
      <c r="C16" s="31" t="s">
        <v>76</v>
      </c>
      <c r="E16" s="31" t="s">
        <v>77</v>
      </c>
      <c r="G16" s="31" t="s">
        <v>78</v>
      </c>
      <c r="I16" s="29" t="s">
        <v>79</v>
      </c>
      <c r="J16" s="29"/>
      <c r="K16" s="29"/>
      <c r="L16" s="29"/>
      <c r="M16" s="29"/>
      <c r="N16" s="29"/>
    </row>
    <row r="17" customFormat="false" ht="15" hidden="false" customHeight="true" outlineLevel="0" collapsed="false">
      <c r="C17" s="25" t="n">
        <f aca="false">IF($C$13,$C$10,IF($C$7="Linked to Plots",MAX(0,$C$10-30),$C$10/2))</f>
        <v>65</v>
      </c>
      <c r="E17" s="25" t="n">
        <f aca="false">IF($C$13,$C$10,IF($C$7="Linked to Plots",MAX(0,$C$10-30),$C$10/2))</f>
        <v>65</v>
      </c>
      <c r="G17" s="25" t="n">
        <f aca="false">IF($C$13,$C$10,IF($C$7="Linked to Plots",MAX(0,$C$10-30),$C$10/2))</f>
        <v>65</v>
      </c>
    </row>
    <row r="18" customFormat="false" ht="15" hidden="false" customHeight="true" outlineLevel="0" collapsed="false">
      <c r="B18" s="22" t="s">
        <v>80</v>
      </c>
      <c r="C18" s="25" t="n">
        <v>0</v>
      </c>
      <c r="E18" s="25" t="n">
        <v>0</v>
      </c>
      <c r="G18" s="25" t="n">
        <v>0</v>
      </c>
      <c r="I18" s="29" t="s">
        <v>81</v>
      </c>
      <c r="J18" s="29"/>
      <c r="K18" s="29"/>
      <c r="L18" s="29"/>
      <c r="M18" s="29"/>
      <c r="N18" s="29"/>
    </row>
    <row r="19" customFormat="false" ht="24" hidden="false" customHeight="true" outlineLevel="0" collapsed="false">
      <c r="A19" s="21"/>
      <c r="B19" s="5" t="s">
        <v>82</v>
      </c>
      <c r="C19" s="5"/>
      <c r="D19" s="5"/>
      <c r="E19" s="5"/>
      <c r="F19" s="5"/>
      <c r="G19" s="5"/>
      <c r="H19" s="5"/>
      <c r="I19" s="5"/>
      <c r="J19" s="5"/>
      <c r="K19" s="5"/>
      <c r="L19" s="5"/>
      <c r="M19" s="5"/>
      <c r="N19" s="5"/>
    </row>
    <row r="21" customFormat="false" ht="15" hidden="false" customHeight="true" outlineLevel="0" collapsed="false">
      <c r="B21" s="22" t="s">
        <v>83</v>
      </c>
      <c r="C21" s="32" t="str">
        <f aca="false">"Day "&amp;$C$9&amp;" ("&amp;MOD($C$9-1,DaysPerMonth)+1&amp;" "&amp;CHOOSE(INT(($C$9-1)/DaysPerMonth)+1,"Jan","Feb","Mar","Apr","May","Jun","Jul","Aug","Sep","Oct","Nov","Dec")&amp;")"</f>
        <v>Day 50 (5 Jun)</v>
      </c>
      <c r="D21" s="32"/>
      <c r="E21" s="32"/>
    </row>
    <row r="22" customFormat="false" ht="15" hidden="false" customHeight="true" outlineLevel="0" collapsed="false">
      <c r="B22" s="22" t="s">
        <v>84</v>
      </c>
      <c r="C22" s="33" t="str">
        <f aca="false">ROUND(IF($C$11,INDEX(Climate!$G$5:$G$112,$C$9),INDEX(Climate!$D$5:$D$112,$C$9)),1)&amp;"°C avg"</f>
        <v>13.5°C avg</v>
      </c>
      <c r="D22" s="33" t="str">
        <f aca="false">ROUND(IF($C$11,INDEX(Climate!$H$5:$H$112,$C$9),INDEX(Climate!$E$5:$E$112,$C$9)),1)&amp;"°C min"</f>
        <v>4.7°C min</v>
      </c>
      <c r="E22" s="33" t="str">
        <f aca="false">ROUND(IF($C$11,INDEX(Climate!$I$5:$I$112,$C$9),INDEX(Climate!$F$5:$F$112,$C$9)),1)&amp;"°C max"</f>
        <v>22.8°C max</v>
      </c>
      <c r="F22" s="29" t="s">
        <v>85</v>
      </c>
      <c r="G22" s="29"/>
      <c r="H22" s="29"/>
      <c r="I22" s="29"/>
      <c r="J22" s="29"/>
      <c r="K22" s="29"/>
      <c r="L22" s="29"/>
      <c r="M22" s="29"/>
      <c r="N22" s="29"/>
    </row>
    <row r="23" customFormat="false" ht="15" hidden="false" customHeight="true" outlineLevel="0" collapsed="false">
      <c r="B23" s="22" t="s">
        <v>86</v>
      </c>
      <c r="C23" s="34" t="str">
        <f aca="false">IF($C$9&gt;=SeasonEndDay,0,SeasonEndDay-$C$9)&amp;" days"</f>
        <v>34 days</v>
      </c>
      <c r="D23" s="35" t="str">
        <f aca="false">"(season ends day "&amp;SeasonEndDay&amp;")"</f>
        <v>(season ends day 84)</v>
      </c>
      <c r="E23" s="35"/>
      <c r="F23" s="35"/>
      <c r="G23" s="35"/>
      <c r="H23" s="35"/>
      <c r="I23" s="35"/>
      <c r="J23" s="35"/>
      <c r="K23" s="35"/>
      <c r="L23" s="35"/>
      <c r="M23" s="35"/>
      <c r="N23" s="35"/>
    </row>
    <row r="24" customFormat="false" ht="15" hidden="false" customHeight="true" outlineLevel="0" collapsed="false">
      <c r="B24" s="22" t="s">
        <v>87</v>
      </c>
      <c r="C24" s="34" t="str">
        <f aca="false">IF(MIN($C$17,$E$17,$G$17)=$C$17,"N",IF(MIN($C$17,$E$17,$G$17)=$E$17,"P","K"))&amp;" ("&amp;MIN($C$17,$E$17,$G$17)&amp;")"</f>
        <v>N (65)</v>
      </c>
      <c r="D24" s="35" t="str">
        <f aca="false">"(N-required crops will struggle if N is low; rotation matters)"</f>
        <v>(N-required crops will struggle if N is low; rotation matters)</v>
      </c>
      <c r="E24" s="35"/>
      <c r="F24" s="35"/>
      <c r="G24" s="35"/>
      <c r="H24" s="35"/>
      <c r="I24" s="35"/>
      <c r="J24" s="35"/>
      <c r="K24" s="35"/>
      <c r="L24" s="35"/>
      <c r="M24" s="35"/>
      <c r="N24" s="35"/>
    </row>
    <row r="25" customFormat="false" ht="15" hidden="false" customHeight="true" outlineLevel="0" collapsed="false">
      <c r="B25" s="22" t="s">
        <v>88</v>
      </c>
      <c r="C25" s="36" t="str">
        <f aca="false">IF($C$9&gt;SeasonEndDay,"Season has already ended. No outdoor planting until day 34",IF(SeasonEndDay-$C$9&lt;10,"Less than 10 days left. Only fast crops will finish",IF(SeasonEndDay-$C$9&lt;25,"Mid-late season. Pick fast/medium crops","Plenty of season left. Many options viable")))</f>
        <v>Plenty of season left. Many options viable</v>
      </c>
      <c r="D25" s="36"/>
      <c r="E25" s="36"/>
      <c r="F25" s="36"/>
      <c r="G25" s="36"/>
      <c r="H25" s="36"/>
      <c r="I25" s="36"/>
      <c r="J25" s="36"/>
      <c r="K25" s="36"/>
      <c r="L25" s="36"/>
      <c r="M25" s="36"/>
      <c r="N25" s="36"/>
    </row>
    <row r="27" customFormat="false" ht="24" hidden="false" customHeight="true" outlineLevel="0" collapsed="false">
      <c r="A27" s="21"/>
      <c r="B27" s="5" t="s">
        <v>89</v>
      </c>
      <c r="C27" s="5"/>
      <c r="D27" s="5"/>
      <c r="E27" s="5"/>
      <c r="F27" s="5"/>
      <c r="G27" s="5"/>
      <c r="H27" s="5"/>
      <c r="I27" s="5"/>
      <c r="J27" s="5"/>
      <c r="K27" s="5"/>
      <c r="L27" s="5"/>
      <c r="M27" s="5"/>
      <c r="N27" s="5"/>
    </row>
    <row r="29" customFormat="false" ht="30" hidden="false" customHeight="true" outlineLevel="0" collapsed="false">
      <c r="B29" s="37" t="s">
        <v>90</v>
      </c>
      <c r="C29" s="37" t="s">
        <v>91</v>
      </c>
      <c r="D29" s="37" t="s">
        <v>92</v>
      </c>
      <c r="E29" s="37" t="s">
        <v>93</v>
      </c>
      <c r="F29" s="37" t="s">
        <v>94</v>
      </c>
      <c r="G29" s="37" t="s">
        <v>95</v>
      </c>
      <c r="H29" s="37" t="s">
        <v>96</v>
      </c>
      <c r="I29" s="37" t="s">
        <v>97</v>
      </c>
      <c r="J29" s="37" t="s">
        <v>34</v>
      </c>
      <c r="K29" s="37" t="s">
        <v>98</v>
      </c>
      <c r="L29" s="37" t="s">
        <v>99</v>
      </c>
      <c r="M29" s="37" t="s">
        <v>100</v>
      </c>
    </row>
    <row r="30" customFormat="false" ht="21.75" hidden="false" customHeight="true" outlineLevel="0" collapsed="false">
      <c r="A30" s="38"/>
      <c r="B30" s="39" t="s">
        <v>101</v>
      </c>
      <c r="C30" s="40" t="n">
        <f aca="false">INDEX(Crops!$F$5:$F$22,MATCH("Rye",CropNames,0))</f>
        <v>16.02</v>
      </c>
      <c r="D30" s="41" t="str">
        <f aca="false">$C$9&amp;"→"&amp;IF(ROUND($C$9+$C30,0)&gt;DaysPerYear,ROUND($C$9+$C30-DaysPerYear,0),ROUND($C$9+$C30,0))</f>
        <v>50→66</v>
      </c>
      <c r="E30" s="42" t="n">
        <f aca="false">MAX(0,ROUND(SeasonEndDay-($C$9+$C30),0))</f>
        <v>18</v>
      </c>
      <c r="F30" s="40" t="n">
        <f aca="false">IF($C$11,IF(ROUND($C$9+$C30,0)&lt;=DaysPerYear,MIN(INDEX(Climate!$H$5:$H$112,$C$9):INDEX(Climate!$H$5:$H$112,ROUND($C$9+$C30,0))),MIN(MIN(INDEX(Climate!$H$5:$H$112,$C$9):INDEX(Climate!$H$5:$H$112,ClimateRows)),MIN(INDEX(Climate!$H$5:$H$112,1):INDEX(Climate!$H$5:$H$112,ROUND($C$9+$C30-DaysPerYear,0))))),IF(ROUND($C$9+$C30,0)&lt;=DaysPerYear,MIN(INDEX(Climate!$E$5:$E$112,$C$9):INDEX(Climate!$E$5:$E$112,ROUND($C$9+$C30,0))),MIN(MIN(INDEX(Climate!$E$5:$E$112,$C$9):INDEX(Climate!$E$5:$E$112,ClimateRows)),MIN(INDEX(Climate!$E$5:$E$112,1):INDEX(Climate!$E$5:$E$112,ROUND($C$9+$C30-DaysPerYear,0))))))</f>
        <v>4.66</v>
      </c>
      <c r="G30" s="40" t="n">
        <f aca="false">IF($C$11,IF(ROUND($C$9+$C30,0)&lt;=DaysPerYear,MAX(INDEX(Climate!$I$5:$I$112,$C$9):INDEX(Climate!$I$5:$I$112,ROUND($C$9+$C30,0))),MAX(MAX(INDEX(Climate!$I$5:$I$112,$C$9):INDEX(Climate!$I$5:$I$112,ClimateRows)),MAX(INDEX(Climate!$I$5:$I$112,1):INDEX(Climate!$I$5:$I$112,ROUND($C$9+$C30-DaysPerYear,0))))),IF(ROUND($C$9+$C30,0)&lt;=DaysPerYear,MAX(INDEX(Climate!$F$5:$F$112,$C$9):INDEX(Climate!$F$5:$F$112,ROUND($C$9+$C30,0))),MAX(MAX(INDEX(Climate!$F$5:$F$112,$C$9):INDEX(Climate!$F$5:$F$112,ClimateRows)),MAX(INDEX(Climate!$F$5:$F$112,1):INDEX(Climate!$F$5:$F$112,ROUND($C$9+$C30-DaysPerYear,0))))))</f>
        <v>24.64</v>
      </c>
      <c r="H30" s="43" t="str">
        <f aca="false">IF(AND($F30&lt;INDEX(Crops!$K$5:$K$22,MATCH("Rye",CropNames,0)),$G30&gt;INDEX(Crops!$M$5:$M$22,MATCH("Rye",CropNames,0))),"C+H",IF($F30&lt;INDEX(Crops!$K$5:$K$22,MATCH("Rye",CropNames,0)),"COLD",IF($G30&gt;INDEX(Crops!$M$5:$M$22,MATCH("Rye",CropNames,0)),"HEAT","✓ ok")))</f>
        <v>✓ ok</v>
      </c>
      <c r="I30" s="43" t="str">
        <f aca="false">IF($C$9+$C30&gt;SeasonEndDay,"✗ no",IF(SeasonEndDay-($C$9+$C30)&lt;3,"barely","✓ yes"))</f>
        <v>✓ yes</v>
      </c>
      <c r="J30" s="41" t="str">
        <f aca="false">IF(MAX($C$17,$E$17,$G$17)-MIN($C$17,$E$17,$G$17)&lt;=5,"ok",IF(INDEX(Crops!$G$5:$G$22,MATCH("Rye",CropNames,0))="N",IF($C$17=MIN($C$17,$E$17,$G$17),"poor",IF($C$17=MAX($C$17,$E$17,$G$17),"great","ok")),IF(INDEX(Crops!$G$5:$G$22,MATCH("Rye",CropNames,0))="P",IF($E$17=MIN($C$17,$E$17,$G$17),"poor",IF($E$17=MAX($C$17,$E$17,$G$17),"great","ok")),IF($G$17=MIN($C$17,$E$17,$G$17),"poor",IF($G$17=MAX($C$17,$E$17,$G$17),"great","ok")))))</f>
        <v>ok</v>
      </c>
      <c r="K30" s="41" t="str">
        <f aca="false">IF($E30&gt;=15,"yes (carrot)",IF($E30&gt;=8,"yes (turnip)",IF($E30&gt;=4,"maybe","no")))</f>
        <v>yes (carrot)</v>
      </c>
      <c r="L30" s="44" t="n">
        <f aca="false">ROUND(5.5/$C30*100*IF(((IF(INDEX(Crops!$G$5:$G$22,MATCH("Rye",CropNames,0))="N",$C$17,IF(INDEX(Crops!$G$5:$G$22,MATCH("Rye",CropNames,0))="P",$E$17,$G$17)))+(MAX(0,IF(INDEX(Crops!$G$5:$G$22,MATCH("Rye",CropNames,0))="N",$C$17,IF(INDEX(Crops!$G$5:$G$22,MATCH("Rye",CropNames,0))="P",$E$17,$G$17))-MAX(0,INDEX(Crops!$H$5:$H$22,MATCH("Rye",CropNames,0))-MIN(IF(INDEX(Crops!$G$5:$G$22,MATCH("Rye",CropNames,0))="N",MIN(150,$C$18+IF($C$13,IFERROR(VLOOKUP($C$14,Fertilizers!$B$6:$E$9,2,FALSE()),0),0)),IF(INDEX(Crops!$G$5:$G$22,MATCH("Rye",CropNames,0))="P",MIN(150,$E$18+IF($C$13,IFERROR(VLOOKUP($C$14,Fertilizers!$B$6:$E$9,3,FALSE()),0),0)),MIN(150,$G$18+IF($C$13,IFERROR(VLOOKUP($C$14,Fertilizers!$B$6:$E$9,4,FALSE()),0),0)))),0.25*$C30*TicksPerDay)))))/2&gt;75,1.1,IF(((IF(INDEX(Crops!$G$5:$G$22,MATCH("Rye",CropNames,0))="N",$C$17,IF(INDEX(Crops!$G$5:$G$22,MATCH("Rye",CropNames,0))="P",$E$17,$G$17)))+(MAX(0,IF(INDEX(Crops!$G$5:$G$22,MATCH("Rye",CropNames,0))="N",$C$17,IF(INDEX(Crops!$G$5:$G$22,MATCH("Rye",CropNames,0))="P",$E$17,$G$17))-MAX(0,INDEX(Crops!$H$5:$H$22,MATCH("Rye",CropNames,0))-MIN(IF(INDEX(Crops!$G$5:$G$22,MATCH("Rye",CropNames,0))="N",MIN(150,$C$18+IF($C$13,IFERROR(VLOOKUP($C$14,Fertilizers!$B$6:$E$9,2,FALSE()),0),0)),IF(INDEX(Crops!$G$5:$G$22,MATCH("Rye",CropNames,0))="P",MIN(150,$E$18+IF($C$13,IFERROR(VLOOKUP($C$14,Fertilizers!$B$6:$E$9,3,FALSE()),0),0)),MIN(150,$G$18+IF($C$13,IFERROR(VLOOKUP($C$14,Fertilizers!$B$6:$E$9,4,FALSE()),0),0)))),0.25*$C30*TicksPerDay)))))/2&gt;50,1,IF(((IF(INDEX(Crops!$G$5:$G$22,MATCH("Rye",CropNames,0))="N",$C$17,IF(INDEX(Crops!$G$5:$G$22,MATCH("Rye",CropNames,0))="P",$E$17,$G$17)))+(MAX(0,IF(INDEX(Crops!$G$5:$G$22,MATCH("Rye",CropNames,0))="N",$C$17,IF(INDEX(Crops!$G$5:$G$22,MATCH("Rye",CropNames,0))="P",$E$17,$G$17))-MAX(0,INDEX(Crops!$H$5:$H$22,MATCH("Rye",CropNames,0))-MIN(IF(INDEX(Crops!$G$5:$G$22,MATCH("Rye",CropNames,0))="N",MIN(150,$C$18+IF($C$13,IFERROR(VLOOKUP($C$14,Fertilizers!$B$6:$E$9,2,FALSE()),0),0)),IF(INDEX(Crops!$G$5:$G$22,MATCH("Rye",CropNames,0))="P",MIN(150,$E$18+IF($C$13,IFERROR(VLOOKUP($C$14,Fertilizers!$B$6:$E$9,3,FALSE()),0),0)),MIN(150,$G$18+IF($C$13,IFERROR(VLOOKUP($C$14,Fertilizers!$B$6:$E$9,4,FALSE()),0),0)))),0.25*$C30*TicksPerDay)))))/2&gt;35,0.9,IF(((IF(INDEX(Crops!$G$5:$G$22,MATCH("Rye",CropNames,0))="N",$C$17,IF(INDEX(Crops!$G$5:$G$22,MATCH("Rye",CropNames,0))="P",$E$17,$G$17)))+(MAX(0,IF(INDEX(Crops!$G$5:$G$22,MATCH("Rye",CropNames,0))="N",$C$17,IF(INDEX(Crops!$G$5:$G$22,MATCH("Rye",CropNames,0))="P",$E$17,$G$17))-MAX(0,INDEX(Crops!$H$5:$H$22,MATCH("Rye",CropNames,0))-MIN(IF(INDEX(Crops!$G$5:$G$22,MATCH("Rye",CropNames,0))="N",MIN(150,$C$18+IF($C$13,IFERROR(VLOOKUP($C$14,Fertilizers!$B$6:$E$9,2,FALSE()),0),0)),IF(INDEX(Crops!$G$5:$G$22,MATCH("Rye",CropNames,0))="P",MIN(150,$E$18+IF($C$13,IFERROR(VLOOKUP($C$14,Fertilizers!$B$6:$E$9,3,FALSE()),0),0)),MIN(150,$G$18+IF($C$13,IFERROR(VLOOKUP($C$14,Fertilizers!$B$6:$E$9,4,FALSE()),0),0)))),0.25*$C30*TicksPerDay)))))/2&gt;20,0.6,IF(((IF(INDEX(Crops!$G$5:$G$22,MATCH("Rye",CropNames,0))="N",$C$17,IF(INDEX(Crops!$G$5:$G$22,MATCH("Rye",CropNames,0))="P",$E$17,$G$17)))+(MAX(0,IF(INDEX(Crops!$G$5:$G$22,MATCH("Rye",CropNames,0))="N",$C$17,IF(INDEX(Crops!$G$5:$G$22,MATCH("Rye",CropNames,0))="P",$E$17,$G$17))-MAX(0,INDEX(Crops!$H$5:$H$22,MATCH("Rye",CropNames,0))-MIN(IF(INDEX(Crops!$G$5:$G$22,MATCH("Rye",CropNames,0))="N",MIN(150,$C$18+IF($C$13,IFERROR(VLOOKUP($C$14,Fertilizers!$B$6:$E$9,2,FALSE()),0),0)),IF(INDEX(Crops!$G$5:$G$22,MATCH("Rye",CropNames,0))="P",MIN(150,$E$18+IF($C$13,IFERROR(VLOOKUP($C$14,Fertilizers!$B$6:$E$9,3,FALSE()),0),0)),MIN(150,$G$18+IF($C$13,IFERROR(VLOOKUP($C$14,Fertilizers!$B$6:$E$9,4,FALSE()),0),0)))),0.25*$C30*TicksPerDay)))))/2&gt;5,0.3,0.1)))))*IF($I30="✓ yes",1,IF($I30="barely",0.6,0))*IF($H30="✓ ok",1,IFERROR(IF(ISBLANK(INDEX(Crops!$O$5:$O$22,MATCH("Rye",CropNames,0))),DefaultStuntMul,INDEX(Crops!$O$5:$O$22,MATCH("Rye",CropNames,0))),DefaultStuntMul))*IF($J30="poor",0.7,IF($J30="great",1.2,1))*IF(LEFT($K30,3)="yes",1.3,IF($K30="maybe",1.1,1)),1)</f>
        <v>40.2</v>
      </c>
      <c r="M30" s="41" t="str">
        <f aca="false">IF($I30="✗ no","won't finish",IF($H30="✓ ok",IF($L30&gt;=RANK_TOP3,"top pick",IF($L30&gt;=RANK_TOP10,"good","ok")),"risk: "&amp;$H30))</f>
        <v>good</v>
      </c>
      <c r="N30" s="38"/>
    </row>
    <row r="31" customFormat="false" ht="21.75" hidden="false" customHeight="true" outlineLevel="0" collapsed="false">
      <c r="A31" s="45"/>
      <c r="B31" s="46" t="s">
        <v>102</v>
      </c>
      <c r="C31" s="47" t="n">
        <f aca="false">INDEX(Crops!$F$5:$F$22,MATCH("Carrot",CropNames,0))</f>
        <v>9.27</v>
      </c>
      <c r="D31" s="48" t="str">
        <f aca="false">$C$9&amp;"→"&amp;IF(ROUND($C$9+$C31,0)&gt;DaysPerYear,ROUND($C$9+$C31-DaysPerYear,0),ROUND($C$9+$C31,0))</f>
        <v>50→59</v>
      </c>
      <c r="E31" s="49" t="n">
        <f aca="false">MAX(0,ROUND(SeasonEndDay-($C$9+$C31),0))</f>
        <v>25</v>
      </c>
      <c r="F31" s="47" t="n">
        <f aca="false">IF($C$11,IF(ROUND($C$9+$C31,0)&lt;=DaysPerYear,MIN(INDEX(Climate!$H$5:$H$112,$C$9):INDEX(Climate!$H$5:$H$112,ROUND($C$9+$C31,0))),MIN(MIN(INDEX(Climate!$H$5:$H$112,$C$9):INDEX(Climate!$H$5:$H$112,ClimateRows)),MIN(INDEX(Climate!$H$5:$H$112,1):INDEX(Climate!$H$5:$H$112,ROUND($C$9+$C31-DaysPerYear,0))))),IF(ROUND($C$9+$C31,0)&lt;=DaysPerYear,MIN(INDEX(Climate!$E$5:$E$112,$C$9):INDEX(Climate!$E$5:$E$112,ROUND($C$9+$C31,0))),MIN(MIN(INDEX(Climate!$E$5:$E$112,$C$9):INDEX(Climate!$E$5:$E$112,ClimateRows)),MIN(INDEX(Climate!$E$5:$E$112,1):INDEX(Climate!$E$5:$E$112,ROUND($C$9+$C31-DaysPerYear,0))))))</f>
        <v>4.66</v>
      </c>
      <c r="G31" s="47" t="n">
        <f aca="false">IF($C$11,IF(ROUND($C$9+$C31,0)&lt;=DaysPerYear,MAX(INDEX(Climate!$I$5:$I$112,$C$9):INDEX(Climate!$I$5:$I$112,ROUND($C$9+$C31,0))),MAX(MAX(INDEX(Climate!$I$5:$I$112,$C$9):INDEX(Climate!$I$5:$I$112,ClimateRows)),MAX(INDEX(Climate!$I$5:$I$112,1):INDEX(Climate!$I$5:$I$112,ROUND($C$9+$C31-DaysPerYear,0))))),IF(ROUND($C$9+$C31,0)&lt;=DaysPerYear,MAX(INDEX(Climate!$F$5:$F$112,$C$9):INDEX(Climate!$F$5:$F$112,ROUND($C$9+$C31,0))),MAX(MAX(INDEX(Climate!$F$5:$F$112,$C$9):INDEX(Climate!$F$5:$F$112,ClimateRows)),MAX(INDEX(Climate!$F$5:$F$112,1):INDEX(Climate!$F$5:$F$112,ROUND($C$9+$C31-DaysPerYear,0))))))</f>
        <v>24.07</v>
      </c>
      <c r="H31" s="50" t="str">
        <f aca="false">IF(AND($F31&lt;INDEX(Crops!$K$5:$K$22,MATCH("Carrot",CropNames,0)),$G31&gt;INDEX(Crops!$M$5:$M$22,MATCH("Carrot",CropNames,0))),"C+H",IF($F31&lt;INDEX(Crops!$K$5:$K$22,MATCH("Carrot",CropNames,0)),"COLD",IF($G31&gt;INDEX(Crops!$M$5:$M$22,MATCH("Carrot",CropNames,0)),"HEAT","✓ ok")))</f>
        <v>✓ ok</v>
      </c>
      <c r="I31" s="50" t="str">
        <f aca="false">IF($C$9+$C31&gt;SeasonEndDay,"✗ no",IF(SeasonEndDay-($C$9+$C31)&lt;3,"barely","✓ yes"))</f>
        <v>✓ yes</v>
      </c>
      <c r="J31" s="48" t="str">
        <f aca="false">IF(MAX($C$17,$E$17,$G$17)-MIN($C$17,$E$17,$G$17)&lt;=5,"ok",IF(INDEX(Crops!$G$5:$G$22,MATCH("Carrot",CropNames,0))="N",IF($C$17=MIN($C$17,$E$17,$G$17),"poor",IF($C$17=MAX($C$17,$E$17,$G$17),"great","ok")),IF(INDEX(Crops!$G$5:$G$22,MATCH("Carrot",CropNames,0))="P",IF($E$17=MIN($C$17,$E$17,$G$17),"poor",IF($E$17=MAX($C$17,$E$17,$G$17),"great","ok")),IF($G$17=MIN($C$17,$E$17,$G$17),"poor",IF($G$17=MAX($C$17,$E$17,$G$17),"great","ok")))))</f>
        <v>ok</v>
      </c>
      <c r="K31" s="48" t="str">
        <f aca="false">IF($E31&gt;=15,"yes (carrot)",IF($E31&gt;=8,"yes (turnip)",IF($E31&gt;=4,"maybe","no")))</f>
        <v>yes (carrot)</v>
      </c>
      <c r="L31" s="51" t="n">
        <f aca="false">ROUND(11/$C31*100*IF(((IF(INDEX(Crops!$G$5:$G$22,MATCH("Carrot",CropNames,0))="N",$C$17,IF(INDEX(Crops!$G$5:$G$22,MATCH("Carrot",CropNames,0))="P",$E$17,$G$17)))+(MAX(0,IF(INDEX(Crops!$G$5:$G$22,MATCH("Carrot",CropNames,0))="N",$C$17,IF(INDEX(Crops!$G$5:$G$22,MATCH("Carrot",CropNames,0))="P",$E$17,$G$17))-MAX(0,INDEX(Crops!$H$5:$H$22,MATCH("Carrot",CropNames,0))-MIN(IF(INDEX(Crops!$G$5:$G$22,MATCH("Carrot",CropNames,0))="N",MIN(150,$C$18+IF($C$13,IFERROR(VLOOKUP($C$14,Fertilizers!$B$6:$E$9,2,FALSE()),0),0)),IF(INDEX(Crops!$G$5:$G$22,MATCH("Carrot",CropNames,0))="P",MIN(150,$E$18+IF($C$13,IFERROR(VLOOKUP($C$14,Fertilizers!$B$6:$E$9,3,FALSE()),0),0)),MIN(150,$G$18+IF($C$13,IFERROR(VLOOKUP($C$14,Fertilizers!$B$6:$E$9,4,FALSE()),0),0)))),0.25*$C31*TicksPerDay)))))/2&gt;75,1.1,IF(((IF(INDEX(Crops!$G$5:$G$22,MATCH("Carrot",CropNames,0))="N",$C$17,IF(INDEX(Crops!$G$5:$G$22,MATCH("Carrot",CropNames,0))="P",$E$17,$G$17)))+(MAX(0,IF(INDEX(Crops!$G$5:$G$22,MATCH("Carrot",CropNames,0))="N",$C$17,IF(INDEX(Crops!$G$5:$G$22,MATCH("Carrot",CropNames,0))="P",$E$17,$G$17))-MAX(0,INDEX(Crops!$H$5:$H$22,MATCH("Carrot",CropNames,0))-MIN(IF(INDEX(Crops!$G$5:$G$22,MATCH("Carrot",CropNames,0))="N",MIN(150,$C$18+IF($C$13,IFERROR(VLOOKUP($C$14,Fertilizers!$B$6:$E$9,2,FALSE()),0),0)),IF(INDEX(Crops!$G$5:$G$22,MATCH("Carrot",CropNames,0))="P",MIN(150,$E$18+IF($C$13,IFERROR(VLOOKUP($C$14,Fertilizers!$B$6:$E$9,3,FALSE()),0),0)),MIN(150,$G$18+IF($C$13,IFERROR(VLOOKUP($C$14,Fertilizers!$B$6:$E$9,4,FALSE()),0),0)))),0.25*$C31*TicksPerDay)))))/2&gt;50,1,IF(((IF(INDEX(Crops!$G$5:$G$22,MATCH("Carrot",CropNames,0))="N",$C$17,IF(INDEX(Crops!$G$5:$G$22,MATCH("Carrot",CropNames,0))="P",$E$17,$G$17)))+(MAX(0,IF(INDEX(Crops!$G$5:$G$22,MATCH("Carrot",CropNames,0))="N",$C$17,IF(INDEX(Crops!$G$5:$G$22,MATCH("Carrot",CropNames,0))="P",$E$17,$G$17))-MAX(0,INDEX(Crops!$H$5:$H$22,MATCH("Carrot",CropNames,0))-MIN(IF(INDEX(Crops!$G$5:$G$22,MATCH("Carrot",CropNames,0))="N",MIN(150,$C$18+IF($C$13,IFERROR(VLOOKUP($C$14,Fertilizers!$B$6:$E$9,2,FALSE()),0),0)),IF(INDEX(Crops!$G$5:$G$22,MATCH("Carrot",CropNames,0))="P",MIN(150,$E$18+IF($C$13,IFERROR(VLOOKUP($C$14,Fertilizers!$B$6:$E$9,3,FALSE()),0),0)),MIN(150,$G$18+IF($C$13,IFERROR(VLOOKUP($C$14,Fertilizers!$B$6:$E$9,4,FALSE()),0),0)))),0.25*$C31*TicksPerDay)))))/2&gt;35,0.9,IF(((IF(INDEX(Crops!$G$5:$G$22,MATCH("Carrot",CropNames,0))="N",$C$17,IF(INDEX(Crops!$G$5:$G$22,MATCH("Carrot",CropNames,0))="P",$E$17,$G$17)))+(MAX(0,IF(INDEX(Crops!$G$5:$G$22,MATCH("Carrot",CropNames,0))="N",$C$17,IF(INDEX(Crops!$G$5:$G$22,MATCH("Carrot",CropNames,0))="P",$E$17,$G$17))-MAX(0,INDEX(Crops!$H$5:$H$22,MATCH("Carrot",CropNames,0))-MIN(IF(INDEX(Crops!$G$5:$G$22,MATCH("Carrot",CropNames,0))="N",MIN(150,$C$18+IF($C$13,IFERROR(VLOOKUP($C$14,Fertilizers!$B$6:$E$9,2,FALSE()),0),0)),IF(INDEX(Crops!$G$5:$G$22,MATCH("Carrot",CropNames,0))="P",MIN(150,$E$18+IF($C$13,IFERROR(VLOOKUP($C$14,Fertilizers!$B$6:$E$9,3,FALSE()),0),0)),MIN(150,$G$18+IF($C$13,IFERROR(VLOOKUP($C$14,Fertilizers!$B$6:$E$9,4,FALSE()),0),0)))),0.25*$C31*TicksPerDay)))))/2&gt;20,0.6,IF(((IF(INDEX(Crops!$G$5:$G$22,MATCH("Carrot",CropNames,0))="N",$C$17,IF(INDEX(Crops!$G$5:$G$22,MATCH("Carrot",CropNames,0))="P",$E$17,$G$17)))+(MAX(0,IF(INDEX(Crops!$G$5:$G$22,MATCH("Carrot",CropNames,0))="N",$C$17,IF(INDEX(Crops!$G$5:$G$22,MATCH("Carrot",CropNames,0))="P",$E$17,$G$17))-MAX(0,INDEX(Crops!$H$5:$H$22,MATCH("Carrot",CropNames,0))-MIN(IF(INDEX(Crops!$G$5:$G$22,MATCH("Carrot",CropNames,0))="N",MIN(150,$C$18+IF($C$13,IFERROR(VLOOKUP($C$14,Fertilizers!$B$6:$E$9,2,FALSE()),0),0)),IF(INDEX(Crops!$G$5:$G$22,MATCH("Carrot",CropNames,0))="P",MIN(150,$E$18+IF($C$13,IFERROR(VLOOKUP($C$14,Fertilizers!$B$6:$E$9,3,FALSE()),0),0)),MIN(150,$G$18+IF($C$13,IFERROR(VLOOKUP($C$14,Fertilizers!$B$6:$E$9,4,FALSE()),0),0)))),0.25*$C31*TicksPerDay)))))/2&gt;5,0.3,0.1)))))*IF($I31="✓ yes",1,IF($I31="barely",0.6,0))*IF($H31="✓ ok",1,IFERROR(IF(ISBLANK(INDEX(Crops!$O$5:$O$22,MATCH("Carrot",CropNames,0))),DefaultStuntMul,INDEX(Crops!$O$5:$O$22,MATCH("Carrot",CropNames,0))),DefaultStuntMul))*IF($J31="poor",0.7,IF($J31="great",1.2,1))*IF(LEFT($K31,3)="yes",1.3,IF($K31="maybe",1.1,1)),1)</f>
        <v>138.8</v>
      </c>
      <c r="M31" s="48" t="str">
        <f aca="false">IF($I31="✗ no","won't finish",IF($H31="✓ ok",IF($L31&gt;=RANK_TOP3,"top pick",IF($L31&gt;=RANK_TOP10,"good","ok")),"risk: "&amp;$H31))</f>
        <v>top pick</v>
      </c>
      <c r="N31" s="45"/>
    </row>
    <row r="32" customFormat="false" ht="21.75" hidden="false" customHeight="true" outlineLevel="0" collapsed="false">
      <c r="A32" s="38"/>
      <c r="B32" s="39" t="s">
        <v>103</v>
      </c>
      <c r="C32" s="40" t="n">
        <f aca="false">INDEX(Crops!$F$5:$F$22,MATCH("Parsnip",CropNames,0))</f>
        <v>15.75</v>
      </c>
      <c r="D32" s="41" t="str">
        <f aca="false">$C$9&amp;"→"&amp;IF(ROUND($C$9+$C32,0)&gt;DaysPerYear,ROUND($C$9+$C32-DaysPerYear,0),ROUND($C$9+$C32,0))</f>
        <v>50→66</v>
      </c>
      <c r="E32" s="42" t="n">
        <f aca="false">MAX(0,ROUND(SeasonEndDay-($C$9+$C32),0))</f>
        <v>18</v>
      </c>
      <c r="F32" s="40" t="n">
        <f aca="false">IF($C$11,IF(ROUND($C$9+$C32,0)&lt;=DaysPerYear,MIN(INDEX(Climate!$H$5:$H$112,$C$9):INDEX(Climate!$H$5:$H$112,ROUND($C$9+$C32,0))),MIN(MIN(INDEX(Climate!$H$5:$H$112,$C$9):INDEX(Climate!$H$5:$H$112,ClimateRows)),MIN(INDEX(Climate!$H$5:$H$112,1):INDEX(Climate!$H$5:$H$112,ROUND($C$9+$C32-DaysPerYear,0))))),IF(ROUND($C$9+$C32,0)&lt;=DaysPerYear,MIN(INDEX(Climate!$E$5:$E$112,$C$9):INDEX(Climate!$E$5:$E$112,ROUND($C$9+$C32,0))),MIN(MIN(INDEX(Climate!$E$5:$E$112,$C$9):INDEX(Climate!$E$5:$E$112,ClimateRows)),MIN(INDEX(Climate!$E$5:$E$112,1):INDEX(Climate!$E$5:$E$112,ROUND($C$9+$C32-DaysPerYear,0))))))</f>
        <v>4.66</v>
      </c>
      <c r="G32" s="40" t="n">
        <f aca="false">IF($C$11,IF(ROUND($C$9+$C32,0)&lt;=DaysPerYear,MAX(INDEX(Climate!$I$5:$I$112,$C$9):INDEX(Climate!$I$5:$I$112,ROUND($C$9+$C32,0))),MAX(MAX(INDEX(Climate!$I$5:$I$112,$C$9):INDEX(Climate!$I$5:$I$112,ClimateRows)),MAX(INDEX(Climate!$I$5:$I$112,1):INDEX(Climate!$I$5:$I$112,ROUND($C$9+$C32-DaysPerYear,0))))),IF(ROUND($C$9+$C32,0)&lt;=DaysPerYear,MAX(INDEX(Climate!$F$5:$F$112,$C$9):INDEX(Climate!$F$5:$F$112,ROUND($C$9+$C32,0))),MAX(MAX(INDEX(Climate!$F$5:$F$112,$C$9):INDEX(Climate!$F$5:$F$112,ClimateRows)),MAX(INDEX(Climate!$F$5:$F$112,1):INDEX(Climate!$F$5:$F$112,ROUND($C$9+$C32-DaysPerYear,0))))))</f>
        <v>24.64</v>
      </c>
      <c r="H32" s="43" t="str">
        <f aca="false">IF(AND($F32&lt;INDEX(Crops!$K$5:$K$22,MATCH("Parsnip",CropNames,0)),$G32&gt;INDEX(Crops!$M$5:$M$22,MATCH("Parsnip",CropNames,0))),"C+H",IF($F32&lt;INDEX(Crops!$K$5:$K$22,MATCH("Parsnip",CropNames,0)),"COLD",IF($G32&gt;INDEX(Crops!$M$5:$M$22,MATCH("Parsnip",CropNames,0)),"HEAT","✓ ok")))</f>
        <v>✓ ok</v>
      </c>
      <c r="I32" s="43" t="str">
        <f aca="false">IF($C$9+$C32&gt;SeasonEndDay,"✗ no",IF(SeasonEndDay-($C$9+$C32)&lt;3,"barely","✓ yes"))</f>
        <v>✓ yes</v>
      </c>
      <c r="J32" s="41" t="str">
        <f aca="false">IF(MAX($C$17,$E$17,$G$17)-MIN($C$17,$E$17,$G$17)&lt;=5,"ok",IF(INDEX(Crops!$G$5:$G$22,MATCH("Parsnip",CropNames,0))="N",IF($C$17=MIN($C$17,$E$17,$G$17),"poor",IF($C$17=MAX($C$17,$E$17,$G$17),"great","ok")),IF(INDEX(Crops!$G$5:$G$22,MATCH("Parsnip",CropNames,0))="P",IF($E$17=MIN($C$17,$E$17,$G$17),"poor",IF($E$17=MAX($C$17,$E$17,$G$17),"great","ok")),IF($G$17=MIN($C$17,$E$17,$G$17),"poor",IF($G$17=MAX($C$17,$E$17,$G$17),"great","ok")))))</f>
        <v>ok</v>
      </c>
      <c r="K32" s="41" t="str">
        <f aca="false">IF($E32&gt;=15,"yes (carrot)",IF($E32&gt;=8,"yes (turnip)",IF($E32&gt;=4,"maybe","no")))</f>
        <v>yes (carrot)</v>
      </c>
      <c r="L32" s="44" t="n">
        <f aca="false">ROUND(12/$C32*100*IF(((IF(INDEX(Crops!$G$5:$G$22,MATCH("Parsnip",CropNames,0))="N",$C$17,IF(INDEX(Crops!$G$5:$G$22,MATCH("Parsnip",CropNames,0))="P",$E$17,$G$17)))+(MAX(0,IF(INDEX(Crops!$G$5:$G$22,MATCH("Parsnip",CropNames,0))="N",$C$17,IF(INDEX(Crops!$G$5:$G$22,MATCH("Parsnip",CropNames,0))="P",$E$17,$G$17))-MAX(0,INDEX(Crops!$H$5:$H$22,MATCH("Parsnip",CropNames,0))-MIN(IF(INDEX(Crops!$G$5:$G$22,MATCH("Parsnip",CropNames,0))="N",MIN(150,$C$18+IF($C$13,IFERROR(VLOOKUP($C$14,Fertilizers!$B$6:$E$9,2,FALSE()),0),0)),IF(INDEX(Crops!$G$5:$G$22,MATCH("Parsnip",CropNames,0))="P",MIN(150,$E$18+IF($C$13,IFERROR(VLOOKUP($C$14,Fertilizers!$B$6:$E$9,3,FALSE()),0),0)),MIN(150,$G$18+IF($C$13,IFERROR(VLOOKUP($C$14,Fertilizers!$B$6:$E$9,4,FALSE()),0),0)))),0.25*$C32*TicksPerDay)))))/2&gt;75,1.1,IF(((IF(INDEX(Crops!$G$5:$G$22,MATCH("Parsnip",CropNames,0))="N",$C$17,IF(INDEX(Crops!$G$5:$G$22,MATCH("Parsnip",CropNames,0))="P",$E$17,$G$17)))+(MAX(0,IF(INDEX(Crops!$G$5:$G$22,MATCH("Parsnip",CropNames,0))="N",$C$17,IF(INDEX(Crops!$G$5:$G$22,MATCH("Parsnip",CropNames,0))="P",$E$17,$G$17))-MAX(0,INDEX(Crops!$H$5:$H$22,MATCH("Parsnip",CropNames,0))-MIN(IF(INDEX(Crops!$G$5:$G$22,MATCH("Parsnip",CropNames,0))="N",MIN(150,$C$18+IF($C$13,IFERROR(VLOOKUP($C$14,Fertilizers!$B$6:$E$9,2,FALSE()),0),0)),IF(INDEX(Crops!$G$5:$G$22,MATCH("Parsnip",CropNames,0))="P",MIN(150,$E$18+IF($C$13,IFERROR(VLOOKUP($C$14,Fertilizers!$B$6:$E$9,3,FALSE()),0),0)),MIN(150,$G$18+IF($C$13,IFERROR(VLOOKUP($C$14,Fertilizers!$B$6:$E$9,4,FALSE()),0),0)))),0.25*$C32*TicksPerDay)))))/2&gt;50,1,IF(((IF(INDEX(Crops!$G$5:$G$22,MATCH("Parsnip",CropNames,0))="N",$C$17,IF(INDEX(Crops!$G$5:$G$22,MATCH("Parsnip",CropNames,0))="P",$E$17,$G$17)))+(MAX(0,IF(INDEX(Crops!$G$5:$G$22,MATCH("Parsnip",CropNames,0))="N",$C$17,IF(INDEX(Crops!$G$5:$G$22,MATCH("Parsnip",CropNames,0))="P",$E$17,$G$17))-MAX(0,INDEX(Crops!$H$5:$H$22,MATCH("Parsnip",CropNames,0))-MIN(IF(INDEX(Crops!$G$5:$G$22,MATCH("Parsnip",CropNames,0))="N",MIN(150,$C$18+IF($C$13,IFERROR(VLOOKUP($C$14,Fertilizers!$B$6:$E$9,2,FALSE()),0),0)),IF(INDEX(Crops!$G$5:$G$22,MATCH("Parsnip",CropNames,0))="P",MIN(150,$E$18+IF($C$13,IFERROR(VLOOKUP($C$14,Fertilizers!$B$6:$E$9,3,FALSE()),0),0)),MIN(150,$G$18+IF($C$13,IFERROR(VLOOKUP($C$14,Fertilizers!$B$6:$E$9,4,FALSE()),0),0)))),0.25*$C32*TicksPerDay)))))/2&gt;35,0.9,IF(((IF(INDEX(Crops!$G$5:$G$22,MATCH("Parsnip",CropNames,0))="N",$C$17,IF(INDEX(Crops!$G$5:$G$22,MATCH("Parsnip",CropNames,0))="P",$E$17,$G$17)))+(MAX(0,IF(INDEX(Crops!$G$5:$G$22,MATCH("Parsnip",CropNames,0))="N",$C$17,IF(INDEX(Crops!$G$5:$G$22,MATCH("Parsnip",CropNames,0))="P",$E$17,$G$17))-MAX(0,INDEX(Crops!$H$5:$H$22,MATCH("Parsnip",CropNames,0))-MIN(IF(INDEX(Crops!$G$5:$G$22,MATCH("Parsnip",CropNames,0))="N",MIN(150,$C$18+IF($C$13,IFERROR(VLOOKUP($C$14,Fertilizers!$B$6:$E$9,2,FALSE()),0),0)),IF(INDEX(Crops!$G$5:$G$22,MATCH("Parsnip",CropNames,0))="P",MIN(150,$E$18+IF($C$13,IFERROR(VLOOKUP($C$14,Fertilizers!$B$6:$E$9,3,FALSE()),0),0)),MIN(150,$G$18+IF($C$13,IFERROR(VLOOKUP($C$14,Fertilizers!$B$6:$E$9,4,FALSE()),0),0)))),0.25*$C32*TicksPerDay)))))/2&gt;20,0.6,IF(((IF(INDEX(Crops!$G$5:$G$22,MATCH("Parsnip",CropNames,0))="N",$C$17,IF(INDEX(Crops!$G$5:$G$22,MATCH("Parsnip",CropNames,0))="P",$E$17,$G$17)))+(MAX(0,IF(INDEX(Crops!$G$5:$G$22,MATCH("Parsnip",CropNames,0))="N",$C$17,IF(INDEX(Crops!$G$5:$G$22,MATCH("Parsnip",CropNames,0))="P",$E$17,$G$17))-MAX(0,INDEX(Crops!$H$5:$H$22,MATCH("Parsnip",CropNames,0))-MIN(IF(INDEX(Crops!$G$5:$G$22,MATCH("Parsnip",CropNames,0))="N",MIN(150,$C$18+IF($C$13,IFERROR(VLOOKUP($C$14,Fertilizers!$B$6:$E$9,2,FALSE()),0),0)),IF(INDEX(Crops!$G$5:$G$22,MATCH("Parsnip",CropNames,0))="P",MIN(150,$E$18+IF($C$13,IFERROR(VLOOKUP($C$14,Fertilizers!$B$6:$E$9,3,FALSE()),0),0)),MIN(150,$G$18+IF($C$13,IFERROR(VLOOKUP($C$14,Fertilizers!$B$6:$E$9,4,FALSE()),0),0)))),0.25*$C32*TicksPerDay)))))/2&gt;5,0.3,0.1)))))*IF($I32="✓ yes",1,IF($I32="barely",0.6,0))*IF($H32="✓ ok",1,IFERROR(IF(ISBLANK(INDEX(Crops!$O$5:$O$22,MATCH("Parsnip",CropNames,0))),DefaultStuntMul,INDEX(Crops!$O$5:$O$22,MATCH("Parsnip",CropNames,0))),DefaultStuntMul))*IF($J32="poor",0.7,IF($J32="great",1.2,1))*IF(LEFT($K32,3)="yes",1.3,IF($K32="maybe",1.1,1)),1)</f>
        <v>99</v>
      </c>
      <c r="M32" s="41" t="str">
        <f aca="false">IF($I32="✗ no","won't finish",IF($H32="✓ ok",IF($L32&gt;=RANK_TOP3,"top pick",IF($L32&gt;=RANK_TOP10,"good","ok")),"risk: "&amp;$H32))</f>
        <v>good</v>
      </c>
      <c r="N32" s="38"/>
    </row>
    <row r="33" customFormat="false" ht="21.75" hidden="false" customHeight="true" outlineLevel="0" collapsed="false">
      <c r="A33" s="45"/>
      <c r="B33" s="46" t="s">
        <v>104</v>
      </c>
      <c r="C33" s="47" t="n">
        <f aca="false">INDEX(Crops!$F$5:$F$22,MATCH("Fennel",CropNames,0))</f>
        <v>24.03</v>
      </c>
      <c r="D33" s="48" t="str">
        <f aca="false">$C$9&amp;"→"&amp;IF(ROUND($C$9+$C33,0)&gt;DaysPerYear,ROUND($C$9+$C33-DaysPerYear,0),ROUND($C$9+$C33,0))</f>
        <v>50→74</v>
      </c>
      <c r="E33" s="49" t="n">
        <f aca="false">MAX(0,ROUND(SeasonEndDay-($C$9+$C33),0))</f>
        <v>10</v>
      </c>
      <c r="F33" s="47" t="n">
        <f aca="false">IF($C$11,IF(ROUND($C$9+$C33,0)&lt;=DaysPerYear,MIN(INDEX(Climate!$H$5:$H$112,$C$9):INDEX(Climate!$H$5:$H$112,ROUND($C$9+$C33,0))),MIN(MIN(INDEX(Climate!$H$5:$H$112,$C$9):INDEX(Climate!$H$5:$H$112,ClimateRows)),MIN(INDEX(Climate!$H$5:$H$112,1):INDEX(Climate!$H$5:$H$112,ROUND($C$9+$C33-DaysPerYear,0))))),IF(ROUND($C$9+$C33,0)&lt;=DaysPerYear,MIN(INDEX(Climate!$E$5:$E$112,$C$9):INDEX(Climate!$E$5:$E$112,ROUND($C$9+$C33,0))),MIN(MIN(INDEX(Climate!$E$5:$E$112,$C$9):INDEX(Climate!$E$5:$E$112,ClimateRows)),MIN(INDEX(Climate!$E$5:$E$112,1):INDEX(Climate!$E$5:$E$112,ROUND($C$9+$C33-DaysPerYear,0))))))</f>
        <v>1.96</v>
      </c>
      <c r="G33" s="47" t="n">
        <f aca="false">IF($C$11,IF(ROUND($C$9+$C33,0)&lt;=DaysPerYear,MAX(INDEX(Climate!$I$5:$I$112,$C$9):INDEX(Climate!$I$5:$I$112,ROUND($C$9+$C33,0))),MAX(MAX(INDEX(Climate!$I$5:$I$112,$C$9):INDEX(Climate!$I$5:$I$112,ClimateRows)),MAX(INDEX(Climate!$I$5:$I$112,1):INDEX(Climate!$I$5:$I$112,ROUND($C$9+$C33-DaysPerYear,0))))),IF(ROUND($C$9+$C33,0)&lt;=DaysPerYear,MAX(INDEX(Climate!$F$5:$F$112,$C$9):INDEX(Climate!$F$5:$F$112,ROUND($C$9+$C33,0))),MAX(MAX(INDEX(Climate!$F$5:$F$112,$C$9):INDEX(Climate!$F$5:$F$112,ClimateRows)),MAX(INDEX(Climate!$F$5:$F$112,1):INDEX(Climate!$F$5:$F$112,ROUND($C$9+$C33-DaysPerYear,0))))))</f>
        <v>24.64</v>
      </c>
      <c r="H33" s="50" t="str">
        <f aca="false">IF(AND($F33&lt;INDEX(Crops!$K$5:$K$22,MATCH("Fennel",CropNames,0)),$G33&gt;INDEX(Crops!$M$5:$M$22,MATCH("Fennel",CropNames,0))),"C+H",IF($F33&lt;INDEX(Crops!$K$5:$K$22,MATCH("Fennel",CropNames,0)),"COLD",IF($G33&gt;INDEX(Crops!$M$5:$M$22,MATCH("Fennel",CropNames,0)),"HEAT","✓ ok")))</f>
        <v>✓ ok</v>
      </c>
      <c r="I33" s="50" t="str">
        <f aca="false">IF($C$9+$C33&gt;SeasonEndDay,"✗ no",IF(SeasonEndDay-($C$9+$C33)&lt;3,"barely","✓ yes"))</f>
        <v>✓ yes</v>
      </c>
      <c r="J33" s="48" t="str">
        <f aca="false">IF(MAX($C$17,$E$17,$G$17)-MIN($C$17,$E$17,$G$17)&lt;=5,"ok",IF(INDEX(Crops!$G$5:$G$22,MATCH("Fennel",CropNames,0))="N",IF($C$17=MIN($C$17,$E$17,$G$17),"poor",IF($C$17=MAX($C$17,$E$17,$G$17),"great","ok")),IF(INDEX(Crops!$G$5:$G$22,MATCH("Fennel",CropNames,0))="P",IF($E$17=MIN($C$17,$E$17,$G$17),"poor",IF($E$17=MAX($C$17,$E$17,$G$17),"great","ok")),IF($G$17=MIN($C$17,$E$17,$G$17),"poor",IF($G$17=MAX($C$17,$E$17,$G$17),"great","ok")))))</f>
        <v>ok</v>
      </c>
      <c r="K33" s="48" t="str">
        <f aca="false">IF($E33&gt;=15,"yes (carrot)",IF($E33&gt;=8,"yes (turnip)",IF($E33&gt;=4,"maybe","no")))</f>
        <v>yes (turnip)</v>
      </c>
      <c r="L33" s="51" t="n">
        <f aca="false">ROUND(11/$C33*100*IF(((IF(INDEX(Crops!$G$5:$G$22,MATCH("Fennel",CropNames,0))="N",$C$17,IF(INDEX(Crops!$G$5:$G$22,MATCH("Fennel",CropNames,0))="P",$E$17,$G$17)))+(MAX(0,IF(INDEX(Crops!$G$5:$G$22,MATCH("Fennel",CropNames,0))="N",$C$17,IF(INDEX(Crops!$G$5:$G$22,MATCH("Fennel",CropNames,0))="P",$E$17,$G$17))-MAX(0,INDEX(Crops!$H$5:$H$22,MATCH("Fennel",CropNames,0))-MIN(IF(INDEX(Crops!$G$5:$G$22,MATCH("Fennel",CropNames,0))="N",MIN(150,$C$18+IF($C$13,IFERROR(VLOOKUP($C$14,Fertilizers!$B$6:$E$9,2,FALSE()),0),0)),IF(INDEX(Crops!$G$5:$G$22,MATCH("Fennel",CropNames,0))="P",MIN(150,$E$18+IF($C$13,IFERROR(VLOOKUP($C$14,Fertilizers!$B$6:$E$9,3,FALSE()),0),0)),MIN(150,$G$18+IF($C$13,IFERROR(VLOOKUP($C$14,Fertilizers!$B$6:$E$9,4,FALSE()),0),0)))),0.25*$C33*TicksPerDay)))))/2&gt;75,1.1,IF(((IF(INDEX(Crops!$G$5:$G$22,MATCH("Fennel",CropNames,0))="N",$C$17,IF(INDEX(Crops!$G$5:$G$22,MATCH("Fennel",CropNames,0))="P",$E$17,$G$17)))+(MAX(0,IF(INDEX(Crops!$G$5:$G$22,MATCH("Fennel",CropNames,0))="N",$C$17,IF(INDEX(Crops!$G$5:$G$22,MATCH("Fennel",CropNames,0))="P",$E$17,$G$17))-MAX(0,INDEX(Crops!$H$5:$H$22,MATCH("Fennel",CropNames,0))-MIN(IF(INDEX(Crops!$G$5:$G$22,MATCH("Fennel",CropNames,0))="N",MIN(150,$C$18+IF($C$13,IFERROR(VLOOKUP($C$14,Fertilizers!$B$6:$E$9,2,FALSE()),0),0)),IF(INDEX(Crops!$G$5:$G$22,MATCH("Fennel",CropNames,0))="P",MIN(150,$E$18+IF($C$13,IFERROR(VLOOKUP($C$14,Fertilizers!$B$6:$E$9,3,FALSE()),0),0)),MIN(150,$G$18+IF($C$13,IFERROR(VLOOKUP($C$14,Fertilizers!$B$6:$E$9,4,FALSE()),0),0)))),0.25*$C33*TicksPerDay)))))/2&gt;50,1,IF(((IF(INDEX(Crops!$G$5:$G$22,MATCH("Fennel",CropNames,0))="N",$C$17,IF(INDEX(Crops!$G$5:$G$22,MATCH("Fennel",CropNames,0))="P",$E$17,$G$17)))+(MAX(0,IF(INDEX(Crops!$G$5:$G$22,MATCH("Fennel",CropNames,0))="N",$C$17,IF(INDEX(Crops!$G$5:$G$22,MATCH("Fennel",CropNames,0))="P",$E$17,$G$17))-MAX(0,INDEX(Crops!$H$5:$H$22,MATCH("Fennel",CropNames,0))-MIN(IF(INDEX(Crops!$G$5:$G$22,MATCH("Fennel",CropNames,0))="N",MIN(150,$C$18+IF($C$13,IFERROR(VLOOKUP($C$14,Fertilizers!$B$6:$E$9,2,FALSE()),0),0)),IF(INDEX(Crops!$G$5:$G$22,MATCH("Fennel",CropNames,0))="P",MIN(150,$E$18+IF($C$13,IFERROR(VLOOKUP($C$14,Fertilizers!$B$6:$E$9,3,FALSE()),0),0)),MIN(150,$G$18+IF($C$13,IFERROR(VLOOKUP($C$14,Fertilizers!$B$6:$E$9,4,FALSE()),0),0)))),0.25*$C33*TicksPerDay)))))/2&gt;35,0.9,IF(((IF(INDEX(Crops!$G$5:$G$22,MATCH("Fennel",CropNames,0))="N",$C$17,IF(INDEX(Crops!$G$5:$G$22,MATCH("Fennel",CropNames,0))="P",$E$17,$G$17)))+(MAX(0,IF(INDEX(Crops!$G$5:$G$22,MATCH("Fennel",CropNames,0))="N",$C$17,IF(INDEX(Crops!$G$5:$G$22,MATCH("Fennel",CropNames,0))="P",$E$17,$G$17))-MAX(0,INDEX(Crops!$H$5:$H$22,MATCH("Fennel",CropNames,0))-MIN(IF(INDEX(Crops!$G$5:$G$22,MATCH("Fennel",CropNames,0))="N",MIN(150,$C$18+IF($C$13,IFERROR(VLOOKUP($C$14,Fertilizers!$B$6:$E$9,2,FALSE()),0),0)),IF(INDEX(Crops!$G$5:$G$22,MATCH("Fennel",CropNames,0))="P",MIN(150,$E$18+IF($C$13,IFERROR(VLOOKUP($C$14,Fertilizers!$B$6:$E$9,3,FALSE()),0),0)),MIN(150,$G$18+IF($C$13,IFERROR(VLOOKUP($C$14,Fertilizers!$B$6:$E$9,4,FALSE()),0),0)))),0.25*$C33*TicksPerDay)))))/2&gt;20,0.6,IF(((IF(INDEX(Crops!$G$5:$G$22,MATCH("Fennel",CropNames,0))="N",$C$17,IF(INDEX(Crops!$G$5:$G$22,MATCH("Fennel",CropNames,0))="P",$E$17,$G$17)))+(MAX(0,IF(INDEX(Crops!$G$5:$G$22,MATCH("Fennel",CropNames,0))="N",$C$17,IF(INDEX(Crops!$G$5:$G$22,MATCH("Fennel",CropNames,0))="P",$E$17,$G$17))-MAX(0,INDEX(Crops!$H$5:$H$22,MATCH("Fennel",CropNames,0))-MIN(IF(INDEX(Crops!$G$5:$G$22,MATCH("Fennel",CropNames,0))="N",MIN(150,$C$18+IF($C$13,IFERROR(VLOOKUP($C$14,Fertilizers!$B$6:$E$9,2,FALSE()),0),0)),IF(INDEX(Crops!$G$5:$G$22,MATCH("Fennel",CropNames,0))="P",MIN(150,$E$18+IF($C$13,IFERROR(VLOOKUP($C$14,Fertilizers!$B$6:$E$9,3,FALSE()),0),0)),MIN(150,$G$18+IF($C$13,IFERROR(VLOOKUP($C$14,Fertilizers!$B$6:$E$9,4,FALSE()),0),0)))),0.25*$C33*TicksPerDay)))))/2&gt;5,0.3,0.1)))))*IF($I33="✓ yes",1,IF($I33="barely",0.6,0))*IF($H33="✓ ok",1,IFERROR(IF(ISBLANK(INDEX(Crops!$O$5:$O$22,MATCH("Fennel",CropNames,0))),DefaultStuntMul,INDEX(Crops!$O$5:$O$22,MATCH("Fennel",CropNames,0))),DefaultStuntMul))*IF($J33="poor",0.7,IF($J33="great",1.2,1))*IF(LEFT($K33,3)="yes",1.3,IF($K33="maybe",1.1,1)),1)</f>
        <v>53.6</v>
      </c>
      <c r="M33" s="48" t="str">
        <f aca="false">IF($I33="✗ no","won't finish",IF($H33="✓ ok",IF($L33&gt;=RANK_TOP3,"top pick",IF($L33&gt;=RANK_TOP10,"good","ok")),"risk: "&amp;$H33))</f>
        <v>good</v>
      </c>
      <c r="N33" s="45"/>
    </row>
    <row r="34" customFormat="false" ht="21.75" hidden="false" customHeight="true" outlineLevel="0" collapsed="false">
      <c r="A34" s="38"/>
      <c r="B34" s="39" t="s">
        <v>105</v>
      </c>
      <c r="C34" s="40" t="n">
        <f aca="false">INDEX(Crops!$F$5:$F$22,MATCH("Licorice",CropNames,0))</f>
        <v>24.03</v>
      </c>
      <c r="D34" s="41" t="str">
        <f aca="false">$C$9&amp;"→"&amp;IF(ROUND($C$9+$C34,0)&gt;DaysPerYear,ROUND($C$9+$C34-DaysPerYear,0),ROUND($C$9+$C34,0))</f>
        <v>50→74</v>
      </c>
      <c r="E34" s="42" t="n">
        <f aca="false">MAX(0,ROUND(SeasonEndDay-($C$9+$C34),0))</f>
        <v>10</v>
      </c>
      <c r="F34" s="40" t="n">
        <f aca="false">IF($C$11,IF(ROUND($C$9+$C34,0)&lt;=DaysPerYear,MIN(INDEX(Climate!$H$5:$H$112,$C$9):INDEX(Climate!$H$5:$H$112,ROUND($C$9+$C34,0))),MIN(MIN(INDEX(Climate!$H$5:$H$112,$C$9):INDEX(Climate!$H$5:$H$112,ClimateRows)),MIN(INDEX(Climate!$H$5:$H$112,1):INDEX(Climate!$H$5:$H$112,ROUND($C$9+$C34-DaysPerYear,0))))),IF(ROUND($C$9+$C34,0)&lt;=DaysPerYear,MIN(INDEX(Climate!$E$5:$E$112,$C$9):INDEX(Climate!$E$5:$E$112,ROUND($C$9+$C34,0))),MIN(MIN(INDEX(Climate!$E$5:$E$112,$C$9):INDEX(Climate!$E$5:$E$112,ClimateRows)),MIN(INDEX(Climate!$E$5:$E$112,1):INDEX(Climate!$E$5:$E$112,ROUND($C$9+$C34-DaysPerYear,0))))))</f>
        <v>1.96</v>
      </c>
      <c r="G34" s="40" t="n">
        <f aca="false">IF($C$11,IF(ROUND($C$9+$C34,0)&lt;=DaysPerYear,MAX(INDEX(Climate!$I$5:$I$112,$C$9):INDEX(Climate!$I$5:$I$112,ROUND($C$9+$C34,0))),MAX(MAX(INDEX(Climate!$I$5:$I$112,$C$9):INDEX(Climate!$I$5:$I$112,ClimateRows)),MAX(INDEX(Climate!$I$5:$I$112,1):INDEX(Climate!$I$5:$I$112,ROUND($C$9+$C34-DaysPerYear,0))))),IF(ROUND($C$9+$C34,0)&lt;=DaysPerYear,MAX(INDEX(Climate!$F$5:$F$112,$C$9):INDEX(Climate!$F$5:$F$112,ROUND($C$9+$C34,0))),MAX(MAX(INDEX(Climate!$F$5:$F$112,$C$9):INDEX(Climate!$F$5:$F$112,ClimateRows)),MAX(INDEX(Climate!$F$5:$F$112,1):INDEX(Climate!$F$5:$F$112,ROUND($C$9+$C34-DaysPerYear,0))))))</f>
        <v>24.64</v>
      </c>
      <c r="H34" s="43" t="str">
        <f aca="false">IF(AND($F34&lt;INDEX(Crops!$K$5:$K$22,MATCH("Licorice",CropNames,0)),$G34&gt;INDEX(Crops!$M$5:$M$22,MATCH("Licorice",CropNames,0))),"C+H",IF($F34&lt;INDEX(Crops!$K$5:$K$22,MATCH("Licorice",CropNames,0)),"COLD",IF($G34&gt;INDEX(Crops!$M$5:$M$22,MATCH("Licorice",CropNames,0)),"HEAT","✓ ok")))</f>
        <v>✓ ok</v>
      </c>
      <c r="I34" s="43" t="str">
        <f aca="false">IF($C$9+$C34&gt;SeasonEndDay,"✗ no",IF(SeasonEndDay-($C$9+$C34)&lt;3,"barely","✓ yes"))</f>
        <v>✓ yes</v>
      </c>
      <c r="J34" s="41" t="str">
        <f aca="false">IF(MAX($C$17,$E$17,$G$17)-MIN($C$17,$E$17,$G$17)&lt;=5,"ok",IF(INDEX(Crops!$G$5:$G$22,MATCH("Licorice",CropNames,0))="N",IF($C$17=MIN($C$17,$E$17,$G$17),"poor",IF($C$17=MAX($C$17,$E$17,$G$17),"great","ok")),IF(INDEX(Crops!$G$5:$G$22,MATCH("Licorice",CropNames,0))="P",IF($E$17=MIN($C$17,$E$17,$G$17),"poor",IF($E$17=MAX($C$17,$E$17,$G$17),"great","ok")),IF($G$17=MIN($C$17,$E$17,$G$17),"poor",IF($G$17=MAX($C$17,$E$17,$G$17),"great","ok")))))</f>
        <v>ok</v>
      </c>
      <c r="K34" s="41" t="str">
        <f aca="false">IF($E34&gt;=15,"yes (carrot)",IF($E34&gt;=8,"yes (turnip)",IF($E34&gt;=4,"maybe","no")))</f>
        <v>yes (turnip)</v>
      </c>
      <c r="L34" s="44" t="n">
        <f aca="false">ROUND(11/$C34*100*IF(((IF(INDEX(Crops!$G$5:$G$22,MATCH("Licorice",CropNames,0))="N",$C$17,IF(INDEX(Crops!$G$5:$G$22,MATCH("Licorice",CropNames,0))="P",$E$17,$G$17)))+(MAX(0,IF(INDEX(Crops!$G$5:$G$22,MATCH("Licorice",CropNames,0))="N",$C$17,IF(INDEX(Crops!$G$5:$G$22,MATCH("Licorice",CropNames,0))="P",$E$17,$G$17))-MAX(0,INDEX(Crops!$H$5:$H$22,MATCH("Licorice",CropNames,0))-MIN(IF(INDEX(Crops!$G$5:$G$22,MATCH("Licorice",CropNames,0))="N",MIN(150,$C$18+IF($C$13,IFERROR(VLOOKUP($C$14,Fertilizers!$B$6:$E$9,2,FALSE()),0),0)),IF(INDEX(Crops!$G$5:$G$22,MATCH("Licorice",CropNames,0))="P",MIN(150,$E$18+IF($C$13,IFERROR(VLOOKUP($C$14,Fertilizers!$B$6:$E$9,3,FALSE()),0),0)),MIN(150,$G$18+IF($C$13,IFERROR(VLOOKUP($C$14,Fertilizers!$B$6:$E$9,4,FALSE()),0),0)))),0.25*$C34*TicksPerDay)))))/2&gt;75,1.1,IF(((IF(INDEX(Crops!$G$5:$G$22,MATCH("Licorice",CropNames,0))="N",$C$17,IF(INDEX(Crops!$G$5:$G$22,MATCH("Licorice",CropNames,0))="P",$E$17,$G$17)))+(MAX(0,IF(INDEX(Crops!$G$5:$G$22,MATCH("Licorice",CropNames,0))="N",$C$17,IF(INDEX(Crops!$G$5:$G$22,MATCH("Licorice",CropNames,0))="P",$E$17,$G$17))-MAX(0,INDEX(Crops!$H$5:$H$22,MATCH("Licorice",CropNames,0))-MIN(IF(INDEX(Crops!$G$5:$G$22,MATCH("Licorice",CropNames,0))="N",MIN(150,$C$18+IF($C$13,IFERROR(VLOOKUP($C$14,Fertilizers!$B$6:$E$9,2,FALSE()),0),0)),IF(INDEX(Crops!$G$5:$G$22,MATCH("Licorice",CropNames,0))="P",MIN(150,$E$18+IF($C$13,IFERROR(VLOOKUP($C$14,Fertilizers!$B$6:$E$9,3,FALSE()),0),0)),MIN(150,$G$18+IF($C$13,IFERROR(VLOOKUP($C$14,Fertilizers!$B$6:$E$9,4,FALSE()),0),0)))),0.25*$C34*TicksPerDay)))))/2&gt;50,1,IF(((IF(INDEX(Crops!$G$5:$G$22,MATCH("Licorice",CropNames,0))="N",$C$17,IF(INDEX(Crops!$G$5:$G$22,MATCH("Licorice",CropNames,0))="P",$E$17,$G$17)))+(MAX(0,IF(INDEX(Crops!$G$5:$G$22,MATCH("Licorice",CropNames,0))="N",$C$17,IF(INDEX(Crops!$G$5:$G$22,MATCH("Licorice",CropNames,0))="P",$E$17,$G$17))-MAX(0,INDEX(Crops!$H$5:$H$22,MATCH("Licorice",CropNames,0))-MIN(IF(INDEX(Crops!$G$5:$G$22,MATCH("Licorice",CropNames,0))="N",MIN(150,$C$18+IF($C$13,IFERROR(VLOOKUP($C$14,Fertilizers!$B$6:$E$9,2,FALSE()),0),0)),IF(INDEX(Crops!$G$5:$G$22,MATCH("Licorice",CropNames,0))="P",MIN(150,$E$18+IF($C$13,IFERROR(VLOOKUP($C$14,Fertilizers!$B$6:$E$9,3,FALSE()),0),0)),MIN(150,$G$18+IF($C$13,IFERROR(VLOOKUP($C$14,Fertilizers!$B$6:$E$9,4,FALSE()),0),0)))),0.25*$C34*TicksPerDay)))))/2&gt;35,0.9,IF(((IF(INDEX(Crops!$G$5:$G$22,MATCH("Licorice",CropNames,0))="N",$C$17,IF(INDEX(Crops!$G$5:$G$22,MATCH("Licorice",CropNames,0))="P",$E$17,$G$17)))+(MAX(0,IF(INDEX(Crops!$G$5:$G$22,MATCH("Licorice",CropNames,0))="N",$C$17,IF(INDEX(Crops!$G$5:$G$22,MATCH("Licorice",CropNames,0))="P",$E$17,$G$17))-MAX(0,INDEX(Crops!$H$5:$H$22,MATCH("Licorice",CropNames,0))-MIN(IF(INDEX(Crops!$G$5:$G$22,MATCH("Licorice",CropNames,0))="N",MIN(150,$C$18+IF($C$13,IFERROR(VLOOKUP($C$14,Fertilizers!$B$6:$E$9,2,FALSE()),0),0)),IF(INDEX(Crops!$G$5:$G$22,MATCH("Licorice",CropNames,0))="P",MIN(150,$E$18+IF($C$13,IFERROR(VLOOKUP($C$14,Fertilizers!$B$6:$E$9,3,FALSE()),0),0)),MIN(150,$G$18+IF($C$13,IFERROR(VLOOKUP($C$14,Fertilizers!$B$6:$E$9,4,FALSE()),0),0)))),0.25*$C34*TicksPerDay)))))/2&gt;20,0.6,IF(((IF(INDEX(Crops!$G$5:$G$22,MATCH("Licorice",CropNames,0))="N",$C$17,IF(INDEX(Crops!$G$5:$G$22,MATCH("Licorice",CropNames,0))="P",$E$17,$G$17)))+(MAX(0,IF(INDEX(Crops!$G$5:$G$22,MATCH("Licorice",CropNames,0))="N",$C$17,IF(INDEX(Crops!$G$5:$G$22,MATCH("Licorice",CropNames,0))="P",$E$17,$G$17))-MAX(0,INDEX(Crops!$H$5:$H$22,MATCH("Licorice",CropNames,0))-MIN(IF(INDEX(Crops!$G$5:$G$22,MATCH("Licorice",CropNames,0))="N",MIN(150,$C$18+IF($C$13,IFERROR(VLOOKUP($C$14,Fertilizers!$B$6:$E$9,2,FALSE()),0),0)),IF(INDEX(Crops!$G$5:$G$22,MATCH("Licorice",CropNames,0))="P",MIN(150,$E$18+IF($C$13,IFERROR(VLOOKUP($C$14,Fertilizers!$B$6:$E$9,3,FALSE()),0),0)),MIN(150,$G$18+IF($C$13,IFERROR(VLOOKUP($C$14,Fertilizers!$B$6:$E$9,4,FALSE()),0),0)))),0.25*$C34*TicksPerDay)))))/2&gt;5,0.3,0.1)))))*IF($I34="✓ yes",1,IF($I34="barely",0.6,0))*IF($H34="✓ ok",1,IFERROR(IF(ISBLANK(INDEX(Crops!$O$5:$O$22,MATCH("Licorice",CropNames,0))),DefaultStuntMul,INDEX(Crops!$O$5:$O$22,MATCH("Licorice",CropNames,0))),DefaultStuntMul))*IF($J34="poor",0.7,IF($J34="great",1.2,1))*IF(LEFT($K34,3)="yes",1.3,IF($K34="maybe",1.1,1)),1)</f>
        <v>53.6</v>
      </c>
      <c r="M34" s="41" t="str">
        <f aca="false">IF($I34="✗ no","won't finish",IF($H34="✓ ok",IF($L34&gt;=RANK_TOP3,"top pick",IF($L34&gt;=RANK_TOP10,"good","ok")),"risk: "&amp;$H34))</f>
        <v>good</v>
      </c>
      <c r="N34" s="38"/>
    </row>
    <row r="35" customFormat="false" ht="21.75" hidden="false" customHeight="true" outlineLevel="0" collapsed="false">
      <c r="A35" s="45"/>
      <c r="B35" s="46" t="s">
        <v>106</v>
      </c>
      <c r="C35" s="47" t="n">
        <f aca="false">INDEX(Crops!$F$5:$F$22,MATCH("Onion",CropNames,0))</f>
        <v>13.86</v>
      </c>
      <c r="D35" s="48" t="str">
        <f aca="false">$C$9&amp;"→"&amp;IF(ROUND($C$9+$C35,0)&gt;DaysPerYear,ROUND($C$9+$C35-DaysPerYear,0),ROUND($C$9+$C35,0))</f>
        <v>50→64</v>
      </c>
      <c r="E35" s="49" t="n">
        <f aca="false">MAX(0,ROUND(SeasonEndDay-($C$9+$C35),0))</f>
        <v>20</v>
      </c>
      <c r="F35" s="47" t="n">
        <f aca="false">IF($C$11,IF(ROUND($C$9+$C35,0)&lt;=DaysPerYear,MIN(INDEX(Climate!$H$5:$H$112,$C$9):INDEX(Climate!$H$5:$H$112,ROUND($C$9+$C35,0))),MIN(MIN(INDEX(Climate!$H$5:$H$112,$C$9):INDEX(Climate!$H$5:$H$112,ClimateRows)),MIN(INDEX(Climate!$H$5:$H$112,1):INDEX(Climate!$H$5:$H$112,ROUND($C$9+$C35-DaysPerYear,0))))),IF(ROUND($C$9+$C35,0)&lt;=DaysPerYear,MIN(INDEX(Climate!$E$5:$E$112,$C$9):INDEX(Climate!$E$5:$E$112,ROUND($C$9+$C35,0))),MIN(MIN(INDEX(Climate!$E$5:$E$112,$C$9):INDEX(Climate!$E$5:$E$112,ClimateRows)),MIN(INDEX(Climate!$E$5:$E$112,1):INDEX(Climate!$E$5:$E$112,ROUND($C$9+$C35-DaysPerYear,0))))))</f>
        <v>4.66</v>
      </c>
      <c r="G35" s="47" t="n">
        <f aca="false">IF($C$11,IF(ROUND($C$9+$C35,0)&lt;=DaysPerYear,MAX(INDEX(Climate!$I$5:$I$112,$C$9):INDEX(Climate!$I$5:$I$112,ROUND($C$9+$C35,0))),MAX(MAX(INDEX(Climate!$I$5:$I$112,$C$9):INDEX(Climate!$I$5:$I$112,ClimateRows)),MAX(INDEX(Climate!$I$5:$I$112,1):INDEX(Climate!$I$5:$I$112,ROUND($C$9+$C35-DaysPerYear,0))))),IF(ROUND($C$9+$C35,0)&lt;=DaysPerYear,MAX(INDEX(Climate!$F$5:$F$112,$C$9):INDEX(Climate!$F$5:$F$112,ROUND($C$9+$C35,0))),MAX(MAX(INDEX(Climate!$F$5:$F$112,$C$9):INDEX(Climate!$F$5:$F$112,ClimateRows)),MAX(INDEX(Climate!$F$5:$F$112,1):INDEX(Climate!$F$5:$F$112,ROUND($C$9+$C35-DaysPerYear,0))))))</f>
        <v>24.64</v>
      </c>
      <c r="H35" s="50" t="str">
        <f aca="false">IF(AND($F35&lt;INDEX(Crops!$K$5:$K$22,MATCH("Onion",CropNames,0)),$G35&gt;INDEX(Crops!$M$5:$M$22,MATCH("Onion",CropNames,0))),"C+H",IF($F35&lt;INDEX(Crops!$K$5:$K$22,MATCH("Onion",CropNames,0)),"COLD",IF($G35&gt;INDEX(Crops!$M$5:$M$22,MATCH("Onion",CropNames,0)),"HEAT","✓ ok")))</f>
        <v>✓ ok</v>
      </c>
      <c r="I35" s="50" t="str">
        <f aca="false">IF($C$9+$C35&gt;SeasonEndDay,"✗ no",IF(SeasonEndDay-($C$9+$C35)&lt;3,"barely","✓ yes"))</f>
        <v>✓ yes</v>
      </c>
      <c r="J35" s="48" t="str">
        <f aca="false">IF(MAX($C$17,$E$17,$G$17)-MIN($C$17,$E$17,$G$17)&lt;=5,"ok",IF(INDEX(Crops!$G$5:$G$22,MATCH("Onion",CropNames,0))="N",IF($C$17=MIN($C$17,$E$17,$G$17),"poor",IF($C$17=MAX($C$17,$E$17,$G$17),"great","ok")),IF(INDEX(Crops!$G$5:$G$22,MATCH("Onion",CropNames,0))="P",IF($E$17=MIN($C$17,$E$17,$G$17),"poor",IF($E$17=MAX($C$17,$E$17,$G$17),"great","ok")),IF($G$17=MIN($C$17,$E$17,$G$17),"poor",IF($G$17=MAX($C$17,$E$17,$G$17),"great","ok")))))</f>
        <v>ok</v>
      </c>
      <c r="K35" s="48" t="str">
        <f aca="false">IF($E35&gt;=15,"yes (carrot)",IF($E35&gt;=8,"yes (turnip)",IF($E35&gt;=4,"maybe","no")))</f>
        <v>yes (carrot)</v>
      </c>
      <c r="L35" s="51" t="n">
        <f aca="false">ROUND(12/$C35*100*IF(((IF(INDEX(Crops!$G$5:$G$22,MATCH("Onion",CropNames,0))="N",$C$17,IF(INDEX(Crops!$G$5:$G$22,MATCH("Onion",CropNames,0))="P",$E$17,$G$17)))+(MAX(0,IF(INDEX(Crops!$G$5:$G$22,MATCH("Onion",CropNames,0))="N",$C$17,IF(INDEX(Crops!$G$5:$G$22,MATCH("Onion",CropNames,0))="P",$E$17,$G$17))-MAX(0,INDEX(Crops!$H$5:$H$22,MATCH("Onion",CropNames,0))-MIN(IF(INDEX(Crops!$G$5:$G$22,MATCH("Onion",CropNames,0))="N",MIN(150,$C$18+IF($C$13,IFERROR(VLOOKUP($C$14,Fertilizers!$B$6:$E$9,2,FALSE()),0),0)),IF(INDEX(Crops!$G$5:$G$22,MATCH("Onion",CropNames,0))="P",MIN(150,$E$18+IF($C$13,IFERROR(VLOOKUP($C$14,Fertilizers!$B$6:$E$9,3,FALSE()),0),0)),MIN(150,$G$18+IF($C$13,IFERROR(VLOOKUP($C$14,Fertilizers!$B$6:$E$9,4,FALSE()),0),0)))),0.25*$C35*TicksPerDay)))))/2&gt;75,1.1,IF(((IF(INDEX(Crops!$G$5:$G$22,MATCH("Onion",CropNames,0))="N",$C$17,IF(INDEX(Crops!$G$5:$G$22,MATCH("Onion",CropNames,0))="P",$E$17,$G$17)))+(MAX(0,IF(INDEX(Crops!$G$5:$G$22,MATCH("Onion",CropNames,0))="N",$C$17,IF(INDEX(Crops!$G$5:$G$22,MATCH("Onion",CropNames,0))="P",$E$17,$G$17))-MAX(0,INDEX(Crops!$H$5:$H$22,MATCH("Onion",CropNames,0))-MIN(IF(INDEX(Crops!$G$5:$G$22,MATCH("Onion",CropNames,0))="N",MIN(150,$C$18+IF($C$13,IFERROR(VLOOKUP($C$14,Fertilizers!$B$6:$E$9,2,FALSE()),0),0)),IF(INDEX(Crops!$G$5:$G$22,MATCH("Onion",CropNames,0))="P",MIN(150,$E$18+IF($C$13,IFERROR(VLOOKUP($C$14,Fertilizers!$B$6:$E$9,3,FALSE()),0),0)),MIN(150,$G$18+IF($C$13,IFERROR(VLOOKUP($C$14,Fertilizers!$B$6:$E$9,4,FALSE()),0),0)))),0.25*$C35*TicksPerDay)))))/2&gt;50,1,IF(((IF(INDEX(Crops!$G$5:$G$22,MATCH("Onion",CropNames,0))="N",$C$17,IF(INDEX(Crops!$G$5:$G$22,MATCH("Onion",CropNames,0))="P",$E$17,$G$17)))+(MAX(0,IF(INDEX(Crops!$G$5:$G$22,MATCH("Onion",CropNames,0))="N",$C$17,IF(INDEX(Crops!$G$5:$G$22,MATCH("Onion",CropNames,0))="P",$E$17,$G$17))-MAX(0,INDEX(Crops!$H$5:$H$22,MATCH("Onion",CropNames,0))-MIN(IF(INDEX(Crops!$G$5:$G$22,MATCH("Onion",CropNames,0))="N",MIN(150,$C$18+IF($C$13,IFERROR(VLOOKUP($C$14,Fertilizers!$B$6:$E$9,2,FALSE()),0),0)),IF(INDEX(Crops!$G$5:$G$22,MATCH("Onion",CropNames,0))="P",MIN(150,$E$18+IF($C$13,IFERROR(VLOOKUP($C$14,Fertilizers!$B$6:$E$9,3,FALSE()),0),0)),MIN(150,$G$18+IF($C$13,IFERROR(VLOOKUP($C$14,Fertilizers!$B$6:$E$9,4,FALSE()),0),0)))),0.25*$C35*TicksPerDay)))))/2&gt;35,0.9,IF(((IF(INDEX(Crops!$G$5:$G$22,MATCH("Onion",CropNames,0))="N",$C$17,IF(INDEX(Crops!$G$5:$G$22,MATCH("Onion",CropNames,0))="P",$E$17,$G$17)))+(MAX(0,IF(INDEX(Crops!$G$5:$G$22,MATCH("Onion",CropNames,0))="N",$C$17,IF(INDEX(Crops!$G$5:$G$22,MATCH("Onion",CropNames,0))="P",$E$17,$G$17))-MAX(0,INDEX(Crops!$H$5:$H$22,MATCH("Onion",CropNames,0))-MIN(IF(INDEX(Crops!$G$5:$G$22,MATCH("Onion",CropNames,0))="N",MIN(150,$C$18+IF($C$13,IFERROR(VLOOKUP($C$14,Fertilizers!$B$6:$E$9,2,FALSE()),0),0)),IF(INDEX(Crops!$G$5:$G$22,MATCH("Onion",CropNames,0))="P",MIN(150,$E$18+IF($C$13,IFERROR(VLOOKUP($C$14,Fertilizers!$B$6:$E$9,3,FALSE()),0),0)),MIN(150,$G$18+IF($C$13,IFERROR(VLOOKUP($C$14,Fertilizers!$B$6:$E$9,4,FALSE()),0),0)))),0.25*$C35*TicksPerDay)))))/2&gt;20,0.6,IF(((IF(INDEX(Crops!$G$5:$G$22,MATCH("Onion",CropNames,0))="N",$C$17,IF(INDEX(Crops!$G$5:$G$22,MATCH("Onion",CropNames,0))="P",$E$17,$G$17)))+(MAX(0,IF(INDEX(Crops!$G$5:$G$22,MATCH("Onion",CropNames,0))="N",$C$17,IF(INDEX(Crops!$G$5:$G$22,MATCH("Onion",CropNames,0))="P",$E$17,$G$17))-MAX(0,INDEX(Crops!$H$5:$H$22,MATCH("Onion",CropNames,0))-MIN(IF(INDEX(Crops!$G$5:$G$22,MATCH("Onion",CropNames,0))="N",MIN(150,$C$18+IF($C$13,IFERROR(VLOOKUP($C$14,Fertilizers!$B$6:$E$9,2,FALSE()),0),0)),IF(INDEX(Crops!$G$5:$G$22,MATCH("Onion",CropNames,0))="P",MIN(150,$E$18+IF($C$13,IFERROR(VLOOKUP($C$14,Fertilizers!$B$6:$E$9,3,FALSE()),0),0)),MIN(150,$G$18+IF($C$13,IFERROR(VLOOKUP($C$14,Fertilizers!$B$6:$E$9,4,FALSE()),0),0)))),0.25*$C35*TicksPerDay)))))/2&gt;5,0.3,0.1)))))*IF($I35="✓ yes",1,IF($I35="barely",0.6,0))*IF($H35="✓ ok",1,IFERROR(IF(ISBLANK(INDEX(Crops!$O$5:$O$22,MATCH("Onion",CropNames,0))),DefaultStuntMul,INDEX(Crops!$O$5:$O$22,MATCH("Onion",CropNames,0))),DefaultStuntMul))*IF($J35="poor",0.7,IF($J35="great",1.2,1))*IF(LEFT($K35,3)="yes",1.3,IF($K35="maybe",1.1,1)),1)</f>
        <v>101.3</v>
      </c>
      <c r="M35" s="48" t="str">
        <f aca="false">IF($I35="✗ no","won't finish",IF($H35="✓ ok",IF($L35&gt;=RANK_TOP3,"top pick",IF($L35&gt;=RANK_TOP10,"good","ok")),"risk: "&amp;$H35))</f>
        <v>top pick</v>
      </c>
      <c r="N35" s="45"/>
    </row>
    <row r="36" customFormat="false" ht="21.75" hidden="false" customHeight="true" outlineLevel="0" collapsed="false">
      <c r="A36" s="38"/>
      <c r="B36" s="39" t="s">
        <v>107</v>
      </c>
      <c r="C36" s="40" t="n">
        <f aca="false">INDEX(Crops!$F$5:$F$22,MATCH("Turnip",CropNames,0))</f>
        <v>7.2</v>
      </c>
      <c r="D36" s="41" t="str">
        <f aca="false">$C$9&amp;"→"&amp;IF(ROUND($C$9+$C36,0)&gt;DaysPerYear,ROUND($C$9+$C36-DaysPerYear,0),ROUND($C$9+$C36,0))</f>
        <v>50→57</v>
      </c>
      <c r="E36" s="42" t="n">
        <f aca="false">MAX(0,ROUND(SeasonEndDay-($C$9+$C36),0))</f>
        <v>27</v>
      </c>
      <c r="F36" s="40" t="n">
        <f aca="false">IF($C$11,IF(ROUND($C$9+$C36,0)&lt;=DaysPerYear,MIN(INDEX(Climate!$H$5:$H$112,$C$9):INDEX(Climate!$H$5:$H$112,ROUND($C$9+$C36,0))),MIN(MIN(INDEX(Climate!$H$5:$H$112,$C$9):INDEX(Climate!$H$5:$H$112,ClimateRows)),MIN(INDEX(Climate!$H$5:$H$112,1):INDEX(Climate!$H$5:$H$112,ROUND($C$9+$C36-DaysPerYear,0))))),IF(ROUND($C$9+$C36,0)&lt;=DaysPerYear,MIN(INDEX(Climate!$E$5:$E$112,$C$9):INDEX(Climate!$E$5:$E$112,ROUND($C$9+$C36,0))),MIN(MIN(INDEX(Climate!$E$5:$E$112,$C$9):INDEX(Climate!$E$5:$E$112,ClimateRows)),MIN(INDEX(Climate!$E$5:$E$112,1):INDEX(Climate!$E$5:$E$112,ROUND($C$9+$C36-DaysPerYear,0))))))</f>
        <v>4.66</v>
      </c>
      <c r="G36" s="40" t="n">
        <f aca="false">IF($C$11,IF(ROUND($C$9+$C36,0)&lt;=DaysPerYear,MAX(INDEX(Climate!$I$5:$I$112,$C$9):INDEX(Climate!$I$5:$I$112,ROUND($C$9+$C36,0))),MAX(MAX(INDEX(Climate!$I$5:$I$112,$C$9):INDEX(Climate!$I$5:$I$112,ClimateRows)),MAX(INDEX(Climate!$I$5:$I$112,1):INDEX(Climate!$I$5:$I$112,ROUND($C$9+$C36-DaysPerYear,0))))),IF(ROUND($C$9+$C36,0)&lt;=DaysPerYear,MAX(INDEX(Climate!$F$5:$F$112,$C$9):INDEX(Climate!$F$5:$F$112,ROUND($C$9+$C36,0))),MAX(MAX(INDEX(Climate!$F$5:$F$112,$C$9):INDEX(Climate!$F$5:$F$112,ClimateRows)),MAX(INDEX(Climate!$F$5:$F$112,1):INDEX(Climate!$F$5:$F$112,ROUND($C$9+$C36-DaysPerYear,0))))))</f>
        <v>24.07</v>
      </c>
      <c r="H36" s="43" t="str">
        <f aca="false">IF(AND($F36&lt;INDEX(Crops!$K$5:$K$22,MATCH("Turnip",CropNames,0)),$G36&gt;INDEX(Crops!$M$5:$M$22,MATCH("Turnip",CropNames,0))),"C+H",IF($F36&lt;INDEX(Crops!$K$5:$K$22,MATCH("Turnip",CropNames,0)),"COLD",IF($G36&gt;INDEX(Crops!$M$5:$M$22,MATCH("Turnip",CropNames,0)),"HEAT","✓ ok")))</f>
        <v>✓ ok</v>
      </c>
      <c r="I36" s="43" t="str">
        <f aca="false">IF($C$9+$C36&gt;SeasonEndDay,"✗ no",IF(SeasonEndDay-($C$9+$C36)&lt;3,"barely","✓ yes"))</f>
        <v>✓ yes</v>
      </c>
      <c r="J36" s="41" t="str">
        <f aca="false">IF(MAX($C$17,$E$17,$G$17)-MIN($C$17,$E$17,$G$17)&lt;=5,"ok",IF(INDEX(Crops!$G$5:$G$22,MATCH("Turnip",CropNames,0))="N",IF($C$17=MIN($C$17,$E$17,$G$17),"poor",IF($C$17=MAX($C$17,$E$17,$G$17),"great","ok")),IF(INDEX(Crops!$G$5:$G$22,MATCH("Turnip",CropNames,0))="P",IF($E$17=MIN($C$17,$E$17,$G$17),"poor",IF($E$17=MAX($C$17,$E$17,$G$17),"great","ok")),IF($G$17=MIN($C$17,$E$17,$G$17),"poor",IF($G$17=MAX($C$17,$E$17,$G$17),"great","ok")))))</f>
        <v>ok</v>
      </c>
      <c r="K36" s="41" t="str">
        <f aca="false">IF($E36&gt;=15,"yes (carrot)",IF($E36&gt;=8,"yes (turnip)",IF($E36&gt;=4,"maybe","no")))</f>
        <v>yes (carrot)</v>
      </c>
      <c r="L36" s="44" t="n">
        <f aca="false">ROUND(7/$C36*100*IF(((IF(INDEX(Crops!$G$5:$G$22,MATCH("Turnip",CropNames,0))="N",$C$17,IF(INDEX(Crops!$G$5:$G$22,MATCH("Turnip",CropNames,0))="P",$E$17,$G$17)))+(MAX(0,IF(INDEX(Crops!$G$5:$G$22,MATCH("Turnip",CropNames,0))="N",$C$17,IF(INDEX(Crops!$G$5:$G$22,MATCH("Turnip",CropNames,0))="P",$E$17,$G$17))-MAX(0,INDEX(Crops!$H$5:$H$22,MATCH("Turnip",CropNames,0))-MIN(IF(INDEX(Crops!$G$5:$G$22,MATCH("Turnip",CropNames,0))="N",MIN(150,$C$18+IF($C$13,IFERROR(VLOOKUP($C$14,Fertilizers!$B$6:$E$9,2,FALSE()),0),0)),IF(INDEX(Crops!$G$5:$G$22,MATCH("Turnip",CropNames,0))="P",MIN(150,$E$18+IF($C$13,IFERROR(VLOOKUP($C$14,Fertilizers!$B$6:$E$9,3,FALSE()),0),0)),MIN(150,$G$18+IF($C$13,IFERROR(VLOOKUP($C$14,Fertilizers!$B$6:$E$9,4,FALSE()),0),0)))),0.25*$C36*TicksPerDay)))))/2&gt;75,1.1,IF(((IF(INDEX(Crops!$G$5:$G$22,MATCH("Turnip",CropNames,0))="N",$C$17,IF(INDEX(Crops!$G$5:$G$22,MATCH("Turnip",CropNames,0))="P",$E$17,$G$17)))+(MAX(0,IF(INDEX(Crops!$G$5:$G$22,MATCH("Turnip",CropNames,0))="N",$C$17,IF(INDEX(Crops!$G$5:$G$22,MATCH("Turnip",CropNames,0))="P",$E$17,$G$17))-MAX(0,INDEX(Crops!$H$5:$H$22,MATCH("Turnip",CropNames,0))-MIN(IF(INDEX(Crops!$G$5:$G$22,MATCH("Turnip",CropNames,0))="N",MIN(150,$C$18+IF($C$13,IFERROR(VLOOKUP($C$14,Fertilizers!$B$6:$E$9,2,FALSE()),0),0)),IF(INDEX(Crops!$G$5:$G$22,MATCH("Turnip",CropNames,0))="P",MIN(150,$E$18+IF($C$13,IFERROR(VLOOKUP($C$14,Fertilizers!$B$6:$E$9,3,FALSE()),0),0)),MIN(150,$G$18+IF($C$13,IFERROR(VLOOKUP($C$14,Fertilizers!$B$6:$E$9,4,FALSE()),0),0)))),0.25*$C36*TicksPerDay)))))/2&gt;50,1,IF(((IF(INDEX(Crops!$G$5:$G$22,MATCH("Turnip",CropNames,0))="N",$C$17,IF(INDEX(Crops!$G$5:$G$22,MATCH("Turnip",CropNames,0))="P",$E$17,$G$17)))+(MAX(0,IF(INDEX(Crops!$G$5:$G$22,MATCH("Turnip",CropNames,0))="N",$C$17,IF(INDEX(Crops!$G$5:$G$22,MATCH("Turnip",CropNames,0))="P",$E$17,$G$17))-MAX(0,INDEX(Crops!$H$5:$H$22,MATCH("Turnip",CropNames,0))-MIN(IF(INDEX(Crops!$G$5:$G$22,MATCH("Turnip",CropNames,0))="N",MIN(150,$C$18+IF($C$13,IFERROR(VLOOKUP($C$14,Fertilizers!$B$6:$E$9,2,FALSE()),0),0)),IF(INDEX(Crops!$G$5:$G$22,MATCH("Turnip",CropNames,0))="P",MIN(150,$E$18+IF($C$13,IFERROR(VLOOKUP($C$14,Fertilizers!$B$6:$E$9,3,FALSE()),0),0)),MIN(150,$G$18+IF($C$13,IFERROR(VLOOKUP($C$14,Fertilizers!$B$6:$E$9,4,FALSE()),0),0)))),0.25*$C36*TicksPerDay)))))/2&gt;35,0.9,IF(((IF(INDEX(Crops!$G$5:$G$22,MATCH("Turnip",CropNames,0))="N",$C$17,IF(INDEX(Crops!$G$5:$G$22,MATCH("Turnip",CropNames,0))="P",$E$17,$G$17)))+(MAX(0,IF(INDEX(Crops!$G$5:$G$22,MATCH("Turnip",CropNames,0))="N",$C$17,IF(INDEX(Crops!$G$5:$G$22,MATCH("Turnip",CropNames,0))="P",$E$17,$G$17))-MAX(0,INDEX(Crops!$H$5:$H$22,MATCH("Turnip",CropNames,0))-MIN(IF(INDEX(Crops!$G$5:$G$22,MATCH("Turnip",CropNames,0))="N",MIN(150,$C$18+IF($C$13,IFERROR(VLOOKUP($C$14,Fertilizers!$B$6:$E$9,2,FALSE()),0),0)),IF(INDEX(Crops!$G$5:$G$22,MATCH("Turnip",CropNames,0))="P",MIN(150,$E$18+IF($C$13,IFERROR(VLOOKUP($C$14,Fertilizers!$B$6:$E$9,3,FALSE()),0),0)),MIN(150,$G$18+IF($C$13,IFERROR(VLOOKUP($C$14,Fertilizers!$B$6:$E$9,4,FALSE()),0),0)))),0.25*$C36*TicksPerDay)))))/2&gt;20,0.6,IF(((IF(INDEX(Crops!$G$5:$G$22,MATCH("Turnip",CropNames,0))="N",$C$17,IF(INDEX(Crops!$G$5:$G$22,MATCH("Turnip",CropNames,0))="P",$E$17,$G$17)))+(MAX(0,IF(INDEX(Crops!$G$5:$G$22,MATCH("Turnip",CropNames,0))="N",$C$17,IF(INDEX(Crops!$G$5:$G$22,MATCH("Turnip",CropNames,0))="P",$E$17,$G$17))-MAX(0,INDEX(Crops!$H$5:$H$22,MATCH("Turnip",CropNames,0))-MIN(IF(INDEX(Crops!$G$5:$G$22,MATCH("Turnip",CropNames,0))="N",MIN(150,$C$18+IF($C$13,IFERROR(VLOOKUP($C$14,Fertilizers!$B$6:$E$9,2,FALSE()),0),0)),IF(INDEX(Crops!$G$5:$G$22,MATCH("Turnip",CropNames,0))="P",MIN(150,$E$18+IF($C$13,IFERROR(VLOOKUP($C$14,Fertilizers!$B$6:$E$9,3,FALSE()),0),0)),MIN(150,$G$18+IF($C$13,IFERROR(VLOOKUP($C$14,Fertilizers!$B$6:$E$9,4,FALSE()),0),0)))),0.25*$C36*TicksPerDay)))))/2&gt;5,0.3,0.1)))))*IF($I36="✓ yes",1,IF($I36="barely",0.6,0))*IF($H36="✓ ok",1,IFERROR(IF(ISBLANK(INDEX(Crops!$O$5:$O$22,MATCH("Turnip",CropNames,0))),DefaultStuntMul,INDEX(Crops!$O$5:$O$22,MATCH("Turnip",CropNames,0))),DefaultStuntMul))*IF($J36="poor",0.7,IF($J36="great",1.2,1))*IF(LEFT($K36,3)="yes",1.3,IF($K36="maybe",1.1,1)),1)</f>
        <v>126.4</v>
      </c>
      <c r="M36" s="41" t="str">
        <f aca="false">IF($I36="✗ no","won't finish",IF($H36="✓ ok",IF($L36&gt;=RANK_TOP3,"top pick",IF($L36&gt;=RANK_TOP10,"good","ok")),"risk: "&amp;$H36))</f>
        <v>top pick</v>
      </c>
      <c r="N36" s="38"/>
    </row>
    <row r="37" customFormat="false" ht="21.75" hidden="false" customHeight="true" outlineLevel="0" collapsed="false">
      <c r="A37" s="45"/>
      <c r="B37" s="46" t="s">
        <v>108</v>
      </c>
      <c r="C37" s="47" t="n">
        <f aca="false">INDEX(Crops!$F$5:$F$22,MATCH("Cabbage",CropNames,0))</f>
        <v>12.375</v>
      </c>
      <c r="D37" s="48" t="str">
        <f aca="false">$C$9&amp;"→"&amp;IF(ROUND($C$9+$C37,0)&gt;DaysPerYear,ROUND($C$9+$C37-DaysPerYear,0),ROUND($C$9+$C37,0))</f>
        <v>50→62</v>
      </c>
      <c r="E37" s="49" t="n">
        <f aca="false">MAX(0,ROUND(SeasonEndDay-($C$9+$C37),0))</f>
        <v>22</v>
      </c>
      <c r="F37" s="47" t="n">
        <f aca="false">IF($C$11,IF(ROUND($C$9+$C37,0)&lt;=DaysPerYear,MIN(INDEX(Climate!$H$5:$H$112,$C$9):INDEX(Climate!$H$5:$H$112,ROUND($C$9+$C37,0))),MIN(MIN(INDEX(Climate!$H$5:$H$112,$C$9):INDEX(Climate!$H$5:$H$112,ClimateRows)),MIN(INDEX(Climate!$H$5:$H$112,1):INDEX(Climate!$H$5:$H$112,ROUND($C$9+$C37-DaysPerYear,0))))),IF(ROUND($C$9+$C37,0)&lt;=DaysPerYear,MIN(INDEX(Climate!$E$5:$E$112,$C$9):INDEX(Climate!$E$5:$E$112,ROUND($C$9+$C37,0))),MIN(MIN(INDEX(Climate!$E$5:$E$112,$C$9):INDEX(Climate!$E$5:$E$112,ClimateRows)),MIN(INDEX(Climate!$E$5:$E$112,1):INDEX(Climate!$E$5:$E$112,ROUND($C$9+$C37-DaysPerYear,0))))))</f>
        <v>4.66</v>
      </c>
      <c r="G37" s="47" t="n">
        <f aca="false">IF($C$11,IF(ROUND($C$9+$C37,0)&lt;=DaysPerYear,MAX(INDEX(Climate!$I$5:$I$112,$C$9):INDEX(Climate!$I$5:$I$112,ROUND($C$9+$C37,0))),MAX(MAX(INDEX(Climate!$I$5:$I$112,$C$9):INDEX(Climate!$I$5:$I$112,ClimateRows)),MAX(INDEX(Climate!$I$5:$I$112,1):INDEX(Climate!$I$5:$I$112,ROUND($C$9+$C37-DaysPerYear,0))))),IF(ROUND($C$9+$C37,0)&lt;=DaysPerYear,MAX(INDEX(Climate!$F$5:$F$112,$C$9):INDEX(Climate!$F$5:$F$112,ROUND($C$9+$C37,0))),MAX(MAX(INDEX(Climate!$F$5:$F$112,$C$9):INDEX(Climate!$F$5:$F$112,ClimateRows)),MAX(INDEX(Climate!$F$5:$F$112,1):INDEX(Climate!$F$5:$F$112,ROUND($C$9+$C37-DaysPerYear,0))))))</f>
        <v>24.64</v>
      </c>
      <c r="H37" s="50" t="str">
        <f aca="false">IF(AND($F37&lt;INDEX(Crops!$K$5:$K$22,MATCH("Cabbage",CropNames,0)),$G37&gt;INDEX(Crops!$M$5:$M$22,MATCH("Cabbage",CropNames,0))),"C+H",IF($F37&lt;INDEX(Crops!$K$5:$K$22,MATCH("Cabbage",CropNames,0)),"COLD",IF($G37&gt;INDEX(Crops!$M$5:$M$22,MATCH("Cabbage",CropNames,0)),"HEAT","✓ ok")))</f>
        <v>✓ ok</v>
      </c>
      <c r="I37" s="50" t="str">
        <f aca="false">IF($C$9+$C37&gt;SeasonEndDay,"✗ no",IF(SeasonEndDay-($C$9+$C37)&lt;3,"barely","✓ yes"))</f>
        <v>✓ yes</v>
      </c>
      <c r="J37" s="48" t="str">
        <f aca="false">IF(MAX($C$17,$E$17,$G$17)-MIN($C$17,$E$17,$G$17)&lt;=5,"ok",IF(INDEX(Crops!$G$5:$G$22,MATCH("Cabbage",CropNames,0))="N",IF($C$17=MIN($C$17,$E$17,$G$17),"poor",IF($C$17=MAX($C$17,$E$17,$G$17),"great","ok")),IF(INDEX(Crops!$G$5:$G$22,MATCH("Cabbage",CropNames,0))="P",IF($E$17=MIN($C$17,$E$17,$G$17),"poor",IF($E$17=MAX($C$17,$E$17,$G$17),"great","ok")),IF($G$17=MIN($C$17,$E$17,$G$17),"poor",IF($G$17=MAX($C$17,$E$17,$G$17),"great","ok")))))</f>
        <v>ok</v>
      </c>
      <c r="K37" s="48" t="str">
        <f aca="false">IF($E37&gt;=15,"yes (carrot)",IF($E37&gt;=8,"yes (turnip)",IF($E37&gt;=4,"maybe","no")))</f>
        <v>yes (carrot)</v>
      </c>
      <c r="L37" s="51" t="n">
        <f aca="false">ROUND(2/$C37*100*IF(((IF(INDEX(Crops!$G$5:$G$22,MATCH("Cabbage",CropNames,0))="N",$C$17,IF(INDEX(Crops!$G$5:$G$22,MATCH("Cabbage",CropNames,0))="P",$E$17,$G$17)))+(MAX(0,IF(INDEX(Crops!$G$5:$G$22,MATCH("Cabbage",CropNames,0))="N",$C$17,IF(INDEX(Crops!$G$5:$G$22,MATCH("Cabbage",CropNames,0))="P",$E$17,$G$17))-MAX(0,INDEX(Crops!$H$5:$H$22,MATCH("Cabbage",CropNames,0))-MIN(IF(INDEX(Crops!$G$5:$G$22,MATCH("Cabbage",CropNames,0))="N",MIN(150,$C$18+IF($C$13,IFERROR(VLOOKUP($C$14,Fertilizers!$B$6:$E$9,2,FALSE()),0),0)),IF(INDEX(Crops!$G$5:$G$22,MATCH("Cabbage",CropNames,0))="P",MIN(150,$E$18+IF($C$13,IFERROR(VLOOKUP($C$14,Fertilizers!$B$6:$E$9,3,FALSE()),0),0)),MIN(150,$G$18+IF($C$13,IFERROR(VLOOKUP($C$14,Fertilizers!$B$6:$E$9,4,FALSE()),0),0)))),0.25*$C37*TicksPerDay)))))/2&gt;75,1.1,IF(((IF(INDEX(Crops!$G$5:$G$22,MATCH("Cabbage",CropNames,0))="N",$C$17,IF(INDEX(Crops!$G$5:$G$22,MATCH("Cabbage",CropNames,0))="P",$E$17,$G$17)))+(MAX(0,IF(INDEX(Crops!$G$5:$G$22,MATCH("Cabbage",CropNames,0))="N",$C$17,IF(INDEX(Crops!$G$5:$G$22,MATCH("Cabbage",CropNames,0))="P",$E$17,$G$17))-MAX(0,INDEX(Crops!$H$5:$H$22,MATCH("Cabbage",CropNames,0))-MIN(IF(INDEX(Crops!$G$5:$G$22,MATCH("Cabbage",CropNames,0))="N",MIN(150,$C$18+IF($C$13,IFERROR(VLOOKUP($C$14,Fertilizers!$B$6:$E$9,2,FALSE()),0),0)),IF(INDEX(Crops!$G$5:$G$22,MATCH("Cabbage",CropNames,0))="P",MIN(150,$E$18+IF($C$13,IFERROR(VLOOKUP($C$14,Fertilizers!$B$6:$E$9,3,FALSE()),0),0)),MIN(150,$G$18+IF($C$13,IFERROR(VLOOKUP($C$14,Fertilizers!$B$6:$E$9,4,FALSE()),0),0)))),0.25*$C37*TicksPerDay)))))/2&gt;50,1,IF(((IF(INDEX(Crops!$G$5:$G$22,MATCH("Cabbage",CropNames,0))="N",$C$17,IF(INDEX(Crops!$G$5:$G$22,MATCH("Cabbage",CropNames,0))="P",$E$17,$G$17)))+(MAX(0,IF(INDEX(Crops!$G$5:$G$22,MATCH("Cabbage",CropNames,0))="N",$C$17,IF(INDEX(Crops!$G$5:$G$22,MATCH("Cabbage",CropNames,0))="P",$E$17,$G$17))-MAX(0,INDEX(Crops!$H$5:$H$22,MATCH("Cabbage",CropNames,0))-MIN(IF(INDEX(Crops!$G$5:$G$22,MATCH("Cabbage",CropNames,0))="N",MIN(150,$C$18+IF($C$13,IFERROR(VLOOKUP($C$14,Fertilizers!$B$6:$E$9,2,FALSE()),0),0)),IF(INDEX(Crops!$G$5:$G$22,MATCH("Cabbage",CropNames,0))="P",MIN(150,$E$18+IF($C$13,IFERROR(VLOOKUP($C$14,Fertilizers!$B$6:$E$9,3,FALSE()),0),0)),MIN(150,$G$18+IF($C$13,IFERROR(VLOOKUP($C$14,Fertilizers!$B$6:$E$9,4,FALSE()),0),0)))),0.25*$C37*TicksPerDay)))))/2&gt;35,0.9,IF(((IF(INDEX(Crops!$G$5:$G$22,MATCH("Cabbage",CropNames,0))="N",$C$17,IF(INDEX(Crops!$G$5:$G$22,MATCH("Cabbage",CropNames,0))="P",$E$17,$G$17)))+(MAX(0,IF(INDEX(Crops!$G$5:$G$22,MATCH("Cabbage",CropNames,0))="N",$C$17,IF(INDEX(Crops!$G$5:$G$22,MATCH("Cabbage",CropNames,0))="P",$E$17,$G$17))-MAX(0,INDEX(Crops!$H$5:$H$22,MATCH("Cabbage",CropNames,0))-MIN(IF(INDEX(Crops!$G$5:$G$22,MATCH("Cabbage",CropNames,0))="N",MIN(150,$C$18+IF($C$13,IFERROR(VLOOKUP($C$14,Fertilizers!$B$6:$E$9,2,FALSE()),0),0)),IF(INDEX(Crops!$G$5:$G$22,MATCH("Cabbage",CropNames,0))="P",MIN(150,$E$18+IF($C$13,IFERROR(VLOOKUP($C$14,Fertilizers!$B$6:$E$9,3,FALSE()),0),0)),MIN(150,$G$18+IF($C$13,IFERROR(VLOOKUP($C$14,Fertilizers!$B$6:$E$9,4,FALSE()),0),0)))),0.25*$C37*TicksPerDay)))))/2&gt;20,0.6,IF(((IF(INDEX(Crops!$G$5:$G$22,MATCH("Cabbage",CropNames,0))="N",$C$17,IF(INDEX(Crops!$G$5:$G$22,MATCH("Cabbage",CropNames,0))="P",$E$17,$G$17)))+(MAX(0,IF(INDEX(Crops!$G$5:$G$22,MATCH("Cabbage",CropNames,0))="N",$C$17,IF(INDEX(Crops!$G$5:$G$22,MATCH("Cabbage",CropNames,0))="P",$E$17,$G$17))-MAX(0,INDEX(Crops!$H$5:$H$22,MATCH("Cabbage",CropNames,0))-MIN(IF(INDEX(Crops!$G$5:$G$22,MATCH("Cabbage",CropNames,0))="N",MIN(150,$C$18+IF($C$13,IFERROR(VLOOKUP($C$14,Fertilizers!$B$6:$E$9,2,FALSE()),0),0)),IF(INDEX(Crops!$G$5:$G$22,MATCH("Cabbage",CropNames,0))="P",MIN(150,$E$18+IF($C$13,IFERROR(VLOOKUP($C$14,Fertilizers!$B$6:$E$9,3,FALSE()),0),0)),MIN(150,$G$18+IF($C$13,IFERROR(VLOOKUP($C$14,Fertilizers!$B$6:$E$9,4,FALSE()),0),0)))),0.25*$C37*TicksPerDay)))))/2&gt;5,0.3,0.1)))))*IF($I37="✓ yes",1,IF($I37="barely",0.6,0))*IF($H37="✓ ok",1,IFERROR(IF(ISBLANK(INDEX(Crops!$O$5:$O$22,MATCH("Cabbage",CropNames,0))),DefaultStuntMul,INDEX(Crops!$O$5:$O$22,MATCH("Cabbage",CropNames,0))),DefaultStuntMul))*IF($J37="poor",0.7,IF($J37="great",1.2,1))*IF(LEFT($K37,3)="yes",1.3,IF($K37="maybe",1.1,1)),1)</f>
        <v>18.9</v>
      </c>
      <c r="M37" s="48" t="str">
        <f aca="false">IF($I37="✗ no","won't finish",IF($H37="✓ ok",IF($L37&gt;=RANK_TOP3,"top pick",IF($L37&gt;=RANK_TOP10,"good","ok")),"risk: "&amp;$H37))</f>
        <v>ok</v>
      </c>
      <c r="N37" s="45"/>
    </row>
    <row r="38" customFormat="false" ht="21.75" hidden="false" customHeight="true" outlineLevel="0" collapsed="false">
      <c r="A38" s="38"/>
      <c r="B38" s="39" t="s">
        <v>109</v>
      </c>
      <c r="C38" s="40" t="n">
        <f aca="false">INDEX(Crops!$F$5:$F$22,MATCH("Spelt",CropNames,0))</f>
        <v>16.02</v>
      </c>
      <c r="D38" s="41" t="str">
        <f aca="false">$C$9&amp;"→"&amp;IF(ROUND($C$9+$C38,0)&gt;DaysPerYear,ROUND($C$9+$C38-DaysPerYear,0),ROUND($C$9+$C38,0))</f>
        <v>50→66</v>
      </c>
      <c r="E38" s="42" t="n">
        <f aca="false">MAX(0,ROUND(SeasonEndDay-($C$9+$C38),0))</f>
        <v>18</v>
      </c>
      <c r="F38" s="40" t="n">
        <f aca="false">IF($C$11,IF(ROUND($C$9+$C38,0)&lt;=DaysPerYear,MIN(INDEX(Climate!$H$5:$H$112,$C$9):INDEX(Climate!$H$5:$H$112,ROUND($C$9+$C38,0))),MIN(MIN(INDEX(Climate!$H$5:$H$112,$C$9):INDEX(Climate!$H$5:$H$112,ClimateRows)),MIN(INDEX(Climate!$H$5:$H$112,1):INDEX(Climate!$H$5:$H$112,ROUND($C$9+$C38-DaysPerYear,0))))),IF(ROUND($C$9+$C38,0)&lt;=DaysPerYear,MIN(INDEX(Climate!$E$5:$E$112,$C$9):INDEX(Climate!$E$5:$E$112,ROUND($C$9+$C38,0))),MIN(MIN(INDEX(Climate!$E$5:$E$112,$C$9):INDEX(Climate!$E$5:$E$112,ClimateRows)),MIN(INDEX(Climate!$E$5:$E$112,1):INDEX(Climate!$E$5:$E$112,ROUND($C$9+$C38-DaysPerYear,0))))))</f>
        <v>4.66</v>
      </c>
      <c r="G38" s="40" t="n">
        <f aca="false">IF($C$11,IF(ROUND($C$9+$C38,0)&lt;=DaysPerYear,MAX(INDEX(Climate!$I$5:$I$112,$C$9):INDEX(Climate!$I$5:$I$112,ROUND($C$9+$C38,0))),MAX(MAX(INDEX(Climate!$I$5:$I$112,$C$9):INDEX(Climate!$I$5:$I$112,ClimateRows)),MAX(INDEX(Climate!$I$5:$I$112,1):INDEX(Climate!$I$5:$I$112,ROUND($C$9+$C38-DaysPerYear,0))))),IF(ROUND($C$9+$C38,0)&lt;=DaysPerYear,MAX(INDEX(Climate!$F$5:$F$112,$C$9):INDEX(Climate!$F$5:$F$112,ROUND($C$9+$C38,0))),MAX(MAX(INDEX(Climate!$F$5:$F$112,$C$9):INDEX(Climate!$F$5:$F$112,ClimateRows)),MAX(INDEX(Climate!$F$5:$F$112,1):INDEX(Climate!$F$5:$F$112,ROUND($C$9+$C38-DaysPerYear,0))))))</f>
        <v>24.64</v>
      </c>
      <c r="H38" s="43" t="str">
        <f aca="false">IF(AND($F38&lt;INDEX(Crops!$K$5:$K$22,MATCH("Spelt",CropNames,0)),$G38&gt;INDEX(Crops!$M$5:$M$22,MATCH("Spelt",CropNames,0))),"C+H",IF($F38&lt;INDEX(Crops!$K$5:$K$22,MATCH("Spelt",CropNames,0)),"COLD",IF($G38&gt;INDEX(Crops!$M$5:$M$22,MATCH("Spelt",CropNames,0)),"HEAT","✓ ok")))</f>
        <v>✓ ok</v>
      </c>
      <c r="I38" s="43" t="str">
        <f aca="false">IF($C$9+$C38&gt;SeasonEndDay,"✗ no",IF(SeasonEndDay-($C$9+$C38)&lt;3,"barely","✓ yes"))</f>
        <v>✓ yes</v>
      </c>
      <c r="J38" s="41" t="str">
        <f aca="false">IF(MAX($C$17,$E$17,$G$17)-MIN($C$17,$E$17,$G$17)&lt;=5,"ok",IF(INDEX(Crops!$G$5:$G$22,MATCH("Spelt",CropNames,0))="N",IF($C$17=MIN($C$17,$E$17,$G$17),"poor",IF($C$17=MAX($C$17,$E$17,$G$17),"great","ok")),IF(INDEX(Crops!$G$5:$G$22,MATCH("Spelt",CropNames,0))="P",IF($E$17=MIN($C$17,$E$17,$G$17),"poor",IF($E$17=MAX($C$17,$E$17,$G$17),"great","ok")),IF($G$17=MIN($C$17,$E$17,$G$17),"poor",IF($G$17=MAX($C$17,$E$17,$G$17),"great","ok")))))</f>
        <v>ok</v>
      </c>
      <c r="K38" s="41" t="str">
        <f aca="false">IF($E38&gt;=15,"yes (carrot)",IF($E38&gt;=8,"yes (turnip)",IF($E38&gt;=4,"maybe","no")))</f>
        <v>yes (carrot)</v>
      </c>
      <c r="L38" s="44" t="n">
        <f aca="false">ROUND(6/$C38*100*IF(((IF(INDEX(Crops!$G$5:$G$22,MATCH("Spelt",CropNames,0))="N",$C$17,IF(INDEX(Crops!$G$5:$G$22,MATCH("Spelt",CropNames,0))="P",$E$17,$G$17)))+(MAX(0,IF(INDEX(Crops!$G$5:$G$22,MATCH("Spelt",CropNames,0))="N",$C$17,IF(INDEX(Crops!$G$5:$G$22,MATCH("Spelt",CropNames,0))="P",$E$17,$G$17))-MAX(0,INDEX(Crops!$H$5:$H$22,MATCH("Spelt",CropNames,0))-MIN(IF(INDEX(Crops!$G$5:$G$22,MATCH("Spelt",CropNames,0))="N",MIN(150,$C$18+IF($C$13,IFERROR(VLOOKUP($C$14,Fertilizers!$B$6:$E$9,2,FALSE()),0),0)),IF(INDEX(Crops!$G$5:$G$22,MATCH("Spelt",CropNames,0))="P",MIN(150,$E$18+IF($C$13,IFERROR(VLOOKUP($C$14,Fertilizers!$B$6:$E$9,3,FALSE()),0),0)),MIN(150,$G$18+IF($C$13,IFERROR(VLOOKUP($C$14,Fertilizers!$B$6:$E$9,4,FALSE()),0),0)))),0.25*$C38*TicksPerDay)))))/2&gt;75,1.1,IF(((IF(INDEX(Crops!$G$5:$G$22,MATCH("Spelt",CropNames,0))="N",$C$17,IF(INDEX(Crops!$G$5:$G$22,MATCH("Spelt",CropNames,0))="P",$E$17,$G$17)))+(MAX(0,IF(INDEX(Crops!$G$5:$G$22,MATCH("Spelt",CropNames,0))="N",$C$17,IF(INDEX(Crops!$G$5:$G$22,MATCH("Spelt",CropNames,0))="P",$E$17,$G$17))-MAX(0,INDEX(Crops!$H$5:$H$22,MATCH("Spelt",CropNames,0))-MIN(IF(INDEX(Crops!$G$5:$G$22,MATCH("Spelt",CropNames,0))="N",MIN(150,$C$18+IF($C$13,IFERROR(VLOOKUP($C$14,Fertilizers!$B$6:$E$9,2,FALSE()),0),0)),IF(INDEX(Crops!$G$5:$G$22,MATCH("Spelt",CropNames,0))="P",MIN(150,$E$18+IF($C$13,IFERROR(VLOOKUP($C$14,Fertilizers!$B$6:$E$9,3,FALSE()),0),0)),MIN(150,$G$18+IF($C$13,IFERROR(VLOOKUP($C$14,Fertilizers!$B$6:$E$9,4,FALSE()),0),0)))),0.25*$C38*TicksPerDay)))))/2&gt;50,1,IF(((IF(INDEX(Crops!$G$5:$G$22,MATCH("Spelt",CropNames,0))="N",$C$17,IF(INDEX(Crops!$G$5:$G$22,MATCH("Spelt",CropNames,0))="P",$E$17,$G$17)))+(MAX(0,IF(INDEX(Crops!$G$5:$G$22,MATCH("Spelt",CropNames,0))="N",$C$17,IF(INDEX(Crops!$G$5:$G$22,MATCH("Spelt",CropNames,0))="P",$E$17,$G$17))-MAX(0,INDEX(Crops!$H$5:$H$22,MATCH("Spelt",CropNames,0))-MIN(IF(INDEX(Crops!$G$5:$G$22,MATCH("Spelt",CropNames,0))="N",MIN(150,$C$18+IF($C$13,IFERROR(VLOOKUP($C$14,Fertilizers!$B$6:$E$9,2,FALSE()),0),0)),IF(INDEX(Crops!$G$5:$G$22,MATCH("Spelt",CropNames,0))="P",MIN(150,$E$18+IF($C$13,IFERROR(VLOOKUP($C$14,Fertilizers!$B$6:$E$9,3,FALSE()),0),0)),MIN(150,$G$18+IF($C$13,IFERROR(VLOOKUP($C$14,Fertilizers!$B$6:$E$9,4,FALSE()),0),0)))),0.25*$C38*TicksPerDay)))))/2&gt;35,0.9,IF(((IF(INDEX(Crops!$G$5:$G$22,MATCH("Spelt",CropNames,0))="N",$C$17,IF(INDEX(Crops!$G$5:$G$22,MATCH("Spelt",CropNames,0))="P",$E$17,$G$17)))+(MAX(0,IF(INDEX(Crops!$G$5:$G$22,MATCH("Spelt",CropNames,0))="N",$C$17,IF(INDEX(Crops!$G$5:$G$22,MATCH("Spelt",CropNames,0))="P",$E$17,$G$17))-MAX(0,INDEX(Crops!$H$5:$H$22,MATCH("Spelt",CropNames,0))-MIN(IF(INDEX(Crops!$G$5:$G$22,MATCH("Spelt",CropNames,0))="N",MIN(150,$C$18+IF($C$13,IFERROR(VLOOKUP($C$14,Fertilizers!$B$6:$E$9,2,FALSE()),0),0)),IF(INDEX(Crops!$G$5:$G$22,MATCH("Spelt",CropNames,0))="P",MIN(150,$E$18+IF($C$13,IFERROR(VLOOKUP($C$14,Fertilizers!$B$6:$E$9,3,FALSE()),0),0)),MIN(150,$G$18+IF($C$13,IFERROR(VLOOKUP($C$14,Fertilizers!$B$6:$E$9,4,FALSE()),0),0)))),0.25*$C38*TicksPerDay)))))/2&gt;20,0.6,IF(((IF(INDEX(Crops!$G$5:$G$22,MATCH("Spelt",CropNames,0))="N",$C$17,IF(INDEX(Crops!$G$5:$G$22,MATCH("Spelt",CropNames,0))="P",$E$17,$G$17)))+(MAX(0,IF(INDEX(Crops!$G$5:$G$22,MATCH("Spelt",CropNames,0))="N",$C$17,IF(INDEX(Crops!$G$5:$G$22,MATCH("Spelt",CropNames,0))="P",$E$17,$G$17))-MAX(0,INDEX(Crops!$H$5:$H$22,MATCH("Spelt",CropNames,0))-MIN(IF(INDEX(Crops!$G$5:$G$22,MATCH("Spelt",CropNames,0))="N",MIN(150,$C$18+IF($C$13,IFERROR(VLOOKUP($C$14,Fertilizers!$B$6:$E$9,2,FALSE()),0),0)),IF(INDEX(Crops!$G$5:$G$22,MATCH("Spelt",CropNames,0))="P",MIN(150,$E$18+IF($C$13,IFERROR(VLOOKUP($C$14,Fertilizers!$B$6:$E$9,3,FALSE()),0),0)),MIN(150,$G$18+IF($C$13,IFERROR(VLOOKUP($C$14,Fertilizers!$B$6:$E$9,4,FALSE()),0),0)))),0.25*$C38*TicksPerDay)))))/2&gt;5,0.3,0.1)))))*IF($I38="✓ yes",1,IF($I38="barely",0.6,0))*IF($H38="✓ ok",1,IFERROR(IF(ISBLANK(INDEX(Crops!$O$5:$O$22,MATCH("Spelt",CropNames,0))),DefaultStuntMul,INDEX(Crops!$O$5:$O$22,MATCH("Spelt",CropNames,0))),DefaultStuntMul))*IF($J38="poor",0.7,IF($J38="great",1.2,1))*IF(LEFT($K38,3)="yes",1.3,IF($K38="maybe",1.1,1)),1)</f>
        <v>43.8</v>
      </c>
      <c r="M38" s="41" t="str">
        <f aca="false">IF($I38="✗ no","won't finish",IF($H38="✓ ok",IF($L38&gt;=RANK_TOP3,"top pick",IF($L38&gt;=RANK_TOP10,"good","ok")),"risk: "&amp;$H38))</f>
        <v>good</v>
      </c>
      <c r="N38" s="38"/>
    </row>
    <row r="39" customFormat="false" ht="21.75" hidden="false" customHeight="true" outlineLevel="0" collapsed="false">
      <c r="A39" s="45"/>
      <c r="B39" s="46" t="s">
        <v>110</v>
      </c>
      <c r="C39" s="47" t="n">
        <f aca="false">INDEX(Crops!$F$5:$F$22,MATCH("Flax",CropNames,0))</f>
        <v>16.02</v>
      </c>
      <c r="D39" s="48" t="str">
        <f aca="false">$C$9&amp;"→"&amp;IF(ROUND($C$9+$C39,0)&gt;DaysPerYear,ROUND($C$9+$C39-DaysPerYear,0),ROUND($C$9+$C39,0))</f>
        <v>50→66</v>
      </c>
      <c r="E39" s="49" t="n">
        <f aca="false">MAX(0,ROUND(SeasonEndDay-($C$9+$C39),0))</f>
        <v>18</v>
      </c>
      <c r="F39" s="47" t="n">
        <f aca="false">IF($C$11,IF(ROUND($C$9+$C39,0)&lt;=DaysPerYear,MIN(INDEX(Climate!$H$5:$H$112,$C$9):INDEX(Climate!$H$5:$H$112,ROUND($C$9+$C39,0))),MIN(MIN(INDEX(Climate!$H$5:$H$112,$C$9):INDEX(Climate!$H$5:$H$112,ClimateRows)),MIN(INDEX(Climate!$H$5:$H$112,1):INDEX(Climate!$H$5:$H$112,ROUND($C$9+$C39-DaysPerYear,0))))),IF(ROUND($C$9+$C39,0)&lt;=DaysPerYear,MIN(INDEX(Climate!$E$5:$E$112,$C$9):INDEX(Climate!$E$5:$E$112,ROUND($C$9+$C39,0))),MIN(MIN(INDEX(Climate!$E$5:$E$112,$C$9):INDEX(Climate!$E$5:$E$112,ClimateRows)),MIN(INDEX(Climate!$E$5:$E$112,1):INDEX(Climate!$E$5:$E$112,ROUND($C$9+$C39-DaysPerYear,0))))))</f>
        <v>4.66</v>
      </c>
      <c r="G39" s="47" t="n">
        <f aca="false">IF($C$11,IF(ROUND($C$9+$C39,0)&lt;=DaysPerYear,MAX(INDEX(Climate!$I$5:$I$112,$C$9):INDEX(Climate!$I$5:$I$112,ROUND($C$9+$C39,0))),MAX(MAX(INDEX(Climate!$I$5:$I$112,$C$9):INDEX(Climate!$I$5:$I$112,ClimateRows)),MAX(INDEX(Climate!$I$5:$I$112,1):INDEX(Climate!$I$5:$I$112,ROUND($C$9+$C39-DaysPerYear,0))))),IF(ROUND($C$9+$C39,0)&lt;=DaysPerYear,MAX(INDEX(Climate!$F$5:$F$112,$C$9):INDEX(Climate!$F$5:$F$112,ROUND($C$9+$C39,0))),MAX(MAX(INDEX(Climate!$F$5:$F$112,$C$9):INDEX(Climate!$F$5:$F$112,ClimateRows)),MAX(INDEX(Climate!$F$5:$F$112,1):INDEX(Climate!$F$5:$F$112,ROUND($C$9+$C39-DaysPerYear,0))))))</f>
        <v>24.64</v>
      </c>
      <c r="H39" s="50" t="str">
        <f aca="false">IF(AND($F39&lt;INDEX(Crops!$K$5:$K$22,MATCH("Flax",CropNames,0)),$G39&gt;INDEX(Crops!$M$5:$M$22,MATCH("Flax",CropNames,0))),"C+H",IF($F39&lt;INDEX(Crops!$K$5:$K$22,MATCH("Flax",CropNames,0)),"COLD",IF($G39&gt;INDEX(Crops!$M$5:$M$22,MATCH("Flax",CropNames,0)),"HEAT","✓ ok")))</f>
        <v>✓ ok</v>
      </c>
      <c r="I39" s="50" t="str">
        <f aca="false">IF($C$9+$C39&gt;SeasonEndDay,"✗ no",IF(SeasonEndDay-($C$9+$C39)&lt;3,"barely","✓ yes"))</f>
        <v>✓ yes</v>
      </c>
      <c r="J39" s="48" t="str">
        <f aca="false">IF(MAX($C$17,$E$17,$G$17)-MIN($C$17,$E$17,$G$17)&lt;=5,"ok",IF(INDEX(Crops!$G$5:$G$22,MATCH("Flax",CropNames,0))="N",IF($C$17=MIN($C$17,$E$17,$G$17),"poor",IF($C$17=MAX($C$17,$E$17,$G$17),"great","ok")),IF(INDEX(Crops!$G$5:$G$22,MATCH("Flax",CropNames,0))="P",IF($E$17=MIN($C$17,$E$17,$G$17),"poor",IF($E$17=MAX($C$17,$E$17,$G$17),"great","ok")),IF($G$17=MIN($C$17,$E$17,$G$17),"poor",IF($G$17=MAX($C$17,$E$17,$G$17),"great","ok")))))</f>
        <v>ok</v>
      </c>
      <c r="K39" s="48" t="str">
        <f aca="false">IF($E39&gt;=15,"yes (carrot)",IF($E39&gt;=8,"yes (turnip)",IF($E39&gt;=4,"maybe","no")))</f>
        <v>yes (carrot)</v>
      </c>
      <c r="L39" s="51" t="n">
        <f aca="false">ROUND(3/$C39*100*IF(((IF(INDEX(Crops!$G$5:$G$22,MATCH("Flax",CropNames,0))="N",$C$17,IF(INDEX(Crops!$G$5:$G$22,MATCH("Flax",CropNames,0))="P",$E$17,$G$17)))+(MAX(0,IF(INDEX(Crops!$G$5:$G$22,MATCH("Flax",CropNames,0))="N",$C$17,IF(INDEX(Crops!$G$5:$G$22,MATCH("Flax",CropNames,0))="P",$E$17,$G$17))-MAX(0,INDEX(Crops!$H$5:$H$22,MATCH("Flax",CropNames,0))-MIN(IF(INDEX(Crops!$G$5:$G$22,MATCH("Flax",CropNames,0))="N",MIN(150,$C$18+IF($C$13,IFERROR(VLOOKUP($C$14,Fertilizers!$B$6:$E$9,2,FALSE()),0),0)),IF(INDEX(Crops!$G$5:$G$22,MATCH("Flax",CropNames,0))="P",MIN(150,$E$18+IF($C$13,IFERROR(VLOOKUP($C$14,Fertilizers!$B$6:$E$9,3,FALSE()),0),0)),MIN(150,$G$18+IF($C$13,IFERROR(VLOOKUP($C$14,Fertilizers!$B$6:$E$9,4,FALSE()),0),0)))),0.25*$C39*TicksPerDay)))))/2&gt;75,1.1,IF(((IF(INDEX(Crops!$G$5:$G$22,MATCH("Flax",CropNames,0))="N",$C$17,IF(INDEX(Crops!$G$5:$G$22,MATCH("Flax",CropNames,0))="P",$E$17,$G$17)))+(MAX(0,IF(INDEX(Crops!$G$5:$G$22,MATCH("Flax",CropNames,0))="N",$C$17,IF(INDEX(Crops!$G$5:$G$22,MATCH("Flax",CropNames,0))="P",$E$17,$G$17))-MAX(0,INDEX(Crops!$H$5:$H$22,MATCH("Flax",CropNames,0))-MIN(IF(INDEX(Crops!$G$5:$G$22,MATCH("Flax",CropNames,0))="N",MIN(150,$C$18+IF($C$13,IFERROR(VLOOKUP($C$14,Fertilizers!$B$6:$E$9,2,FALSE()),0),0)),IF(INDEX(Crops!$G$5:$G$22,MATCH("Flax",CropNames,0))="P",MIN(150,$E$18+IF($C$13,IFERROR(VLOOKUP($C$14,Fertilizers!$B$6:$E$9,3,FALSE()),0),0)),MIN(150,$G$18+IF($C$13,IFERROR(VLOOKUP($C$14,Fertilizers!$B$6:$E$9,4,FALSE()),0),0)))),0.25*$C39*TicksPerDay)))))/2&gt;50,1,IF(((IF(INDEX(Crops!$G$5:$G$22,MATCH("Flax",CropNames,0))="N",$C$17,IF(INDEX(Crops!$G$5:$G$22,MATCH("Flax",CropNames,0))="P",$E$17,$G$17)))+(MAX(0,IF(INDEX(Crops!$G$5:$G$22,MATCH("Flax",CropNames,0))="N",$C$17,IF(INDEX(Crops!$G$5:$G$22,MATCH("Flax",CropNames,0))="P",$E$17,$G$17))-MAX(0,INDEX(Crops!$H$5:$H$22,MATCH("Flax",CropNames,0))-MIN(IF(INDEX(Crops!$G$5:$G$22,MATCH("Flax",CropNames,0))="N",MIN(150,$C$18+IF($C$13,IFERROR(VLOOKUP($C$14,Fertilizers!$B$6:$E$9,2,FALSE()),0),0)),IF(INDEX(Crops!$G$5:$G$22,MATCH("Flax",CropNames,0))="P",MIN(150,$E$18+IF($C$13,IFERROR(VLOOKUP($C$14,Fertilizers!$B$6:$E$9,3,FALSE()),0),0)),MIN(150,$G$18+IF($C$13,IFERROR(VLOOKUP($C$14,Fertilizers!$B$6:$E$9,4,FALSE()),0),0)))),0.25*$C39*TicksPerDay)))))/2&gt;35,0.9,IF(((IF(INDEX(Crops!$G$5:$G$22,MATCH("Flax",CropNames,0))="N",$C$17,IF(INDEX(Crops!$G$5:$G$22,MATCH("Flax",CropNames,0))="P",$E$17,$G$17)))+(MAX(0,IF(INDEX(Crops!$G$5:$G$22,MATCH("Flax",CropNames,0))="N",$C$17,IF(INDEX(Crops!$G$5:$G$22,MATCH("Flax",CropNames,0))="P",$E$17,$G$17))-MAX(0,INDEX(Crops!$H$5:$H$22,MATCH("Flax",CropNames,0))-MIN(IF(INDEX(Crops!$G$5:$G$22,MATCH("Flax",CropNames,0))="N",MIN(150,$C$18+IF($C$13,IFERROR(VLOOKUP($C$14,Fertilizers!$B$6:$E$9,2,FALSE()),0),0)),IF(INDEX(Crops!$G$5:$G$22,MATCH("Flax",CropNames,0))="P",MIN(150,$E$18+IF($C$13,IFERROR(VLOOKUP($C$14,Fertilizers!$B$6:$E$9,3,FALSE()),0),0)),MIN(150,$G$18+IF($C$13,IFERROR(VLOOKUP($C$14,Fertilizers!$B$6:$E$9,4,FALSE()),0),0)))),0.25*$C39*TicksPerDay)))))/2&gt;20,0.6,IF(((IF(INDEX(Crops!$G$5:$G$22,MATCH("Flax",CropNames,0))="N",$C$17,IF(INDEX(Crops!$G$5:$G$22,MATCH("Flax",CropNames,0))="P",$E$17,$G$17)))+(MAX(0,IF(INDEX(Crops!$G$5:$G$22,MATCH("Flax",CropNames,0))="N",$C$17,IF(INDEX(Crops!$G$5:$G$22,MATCH("Flax",CropNames,0))="P",$E$17,$G$17))-MAX(0,INDEX(Crops!$H$5:$H$22,MATCH("Flax",CropNames,0))-MIN(IF(INDEX(Crops!$G$5:$G$22,MATCH("Flax",CropNames,0))="N",MIN(150,$C$18+IF($C$13,IFERROR(VLOOKUP($C$14,Fertilizers!$B$6:$E$9,2,FALSE()),0),0)),IF(INDEX(Crops!$G$5:$G$22,MATCH("Flax",CropNames,0))="P",MIN(150,$E$18+IF($C$13,IFERROR(VLOOKUP($C$14,Fertilizers!$B$6:$E$9,3,FALSE()),0),0)),MIN(150,$G$18+IF($C$13,IFERROR(VLOOKUP($C$14,Fertilizers!$B$6:$E$9,4,FALSE()),0),0)))),0.25*$C39*TicksPerDay)))))/2&gt;5,0.3,0.1)))))*IF($I39="✓ yes",1,IF($I39="barely",0.6,0))*IF($H39="✓ ok",1,IFERROR(IF(ISBLANK(INDEX(Crops!$O$5:$O$22,MATCH("Flax",CropNames,0))),DefaultStuntMul,INDEX(Crops!$O$5:$O$22,MATCH("Flax",CropNames,0))),DefaultStuntMul))*IF($J39="poor",0.7,IF($J39="great",1.2,1))*IF(LEFT($K39,3)="yes",1.3,IF($K39="maybe",1.1,1)),1)</f>
        <v>21.9</v>
      </c>
      <c r="M39" s="48" t="str">
        <f aca="false">IF($I39="✗ no","won't finish",IF($H39="✓ ok",IF($L39&gt;=RANK_TOP3,"top pick",IF($L39&gt;=RANK_TOP10,"good","ok")),"risk: "&amp;$H39))</f>
        <v>ok</v>
      </c>
      <c r="N39" s="45"/>
    </row>
    <row r="40" customFormat="false" ht="21.75" hidden="false" customHeight="true" outlineLevel="0" collapsed="false">
      <c r="A40" s="38"/>
      <c r="B40" s="39" t="s">
        <v>111</v>
      </c>
      <c r="C40" s="40" t="n">
        <f aca="false">INDEX(Crops!$F$5:$F$22,MATCH("Sunflower",CropNames,0))</f>
        <v>15.3</v>
      </c>
      <c r="D40" s="41" t="str">
        <f aca="false">$C$9&amp;"→"&amp;IF(ROUND($C$9+$C40,0)&gt;DaysPerYear,ROUND($C$9+$C40-DaysPerYear,0),ROUND($C$9+$C40,0))</f>
        <v>50→65</v>
      </c>
      <c r="E40" s="42" t="n">
        <f aca="false">MAX(0,ROUND(SeasonEndDay-($C$9+$C40),0))</f>
        <v>19</v>
      </c>
      <c r="F40" s="40" t="n">
        <f aca="false">IF($C$11,IF(ROUND($C$9+$C40,0)&lt;=DaysPerYear,MIN(INDEX(Climate!$H$5:$H$112,$C$9):INDEX(Climate!$H$5:$H$112,ROUND($C$9+$C40,0))),MIN(MIN(INDEX(Climate!$H$5:$H$112,$C$9):INDEX(Climate!$H$5:$H$112,ClimateRows)),MIN(INDEX(Climate!$H$5:$H$112,1):INDEX(Climate!$H$5:$H$112,ROUND($C$9+$C40-DaysPerYear,0))))),IF(ROUND($C$9+$C40,0)&lt;=DaysPerYear,MIN(INDEX(Climate!$E$5:$E$112,$C$9):INDEX(Climate!$E$5:$E$112,ROUND($C$9+$C40,0))),MIN(MIN(INDEX(Climate!$E$5:$E$112,$C$9):INDEX(Climate!$E$5:$E$112,ClimateRows)),MIN(INDEX(Climate!$E$5:$E$112,1):INDEX(Climate!$E$5:$E$112,ROUND($C$9+$C40-DaysPerYear,0))))))</f>
        <v>4.66</v>
      </c>
      <c r="G40" s="40" t="n">
        <f aca="false">IF($C$11,IF(ROUND($C$9+$C40,0)&lt;=DaysPerYear,MAX(INDEX(Climate!$I$5:$I$112,$C$9):INDEX(Climate!$I$5:$I$112,ROUND($C$9+$C40,0))),MAX(MAX(INDEX(Climate!$I$5:$I$112,$C$9):INDEX(Climate!$I$5:$I$112,ClimateRows)),MAX(INDEX(Climate!$I$5:$I$112,1):INDEX(Climate!$I$5:$I$112,ROUND($C$9+$C40-DaysPerYear,0))))),IF(ROUND($C$9+$C40,0)&lt;=DaysPerYear,MAX(INDEX(Climate!$F$5:$F$112,$C$9):INDEX(Climate!$F$5:$F$112,ROUND($C$9+$C40,0))),MAX(MAX(INDEX(Climate!$F$5:$F$112,$C$9):INDEX(Climate!$F$5:$F$112,ClimateRows)),MAX(INDEX(Climate!$F$5:$F$112,1):INDEX(Climate!$F$5:$F$112,ROUND($C$9+$C40-DaysPerYear,0))))))</f>
        <v>24.64</v>
      </c>
      <c r="H40" s="43" t="str">
        <f aca="false">IF(AND($F40&lt;INDEX(Crops!$K$5:$K$22,MATCH("Sunflower",CropNames,0)),$G40&gt;INDEX(Crops!$M$5:$M$22,MATCH("Sunflower",CropNames,0))),"C+H",IF($F40&lt;INDEX(Crops!$K$5:$K$22,MATCH("Sunflower",CropNames,0)),"COLD",IF($G40&gt;INDEX(Crops!$M$5:$M$22,MATCH("Sunflower",CropNames,0)),"HEAT","✓ ok")))</f>
        <v>✓ ok</v>
      </c>
      <c r="I40" s="43" t="str">
        <f aca="false">IF($C$9+$C40&gt;SeasonEndDay,"✗ no",IF(SeasonEndDay-($C$9+$C40)&lt;3,"barely","✓ yes"))</f>
        <v>✓ yes</v>
      </c>
      <c r="J40" s="41" t="str">
        <f aca="false">IF(MAX($C$17,$E$17,$G$17)-MIN($C$17,$E$17,$G$17)&lt;=5,"ok",IF(INDEX(Crops!$G$5:$G$22,MATCH("Sunflower",CropNames,0))="N",IF($C$17=MIN($C$17,$E$17,$G$17),"poor",IF($C$17=MAX($C$17,$E$17,$G$17),"great","ok")),IF(INDEX(Crops!$G$5:$G$22,MATCH("Sunflower",CropNames,0))="P",IF($E$17=MIN($C$17,$E$17,$G$17),"poor",IF($E$17=MAX($C$17,$E$17,$G$17),"great","ok")),IF($G$17=MIN($C$17,$E$17,$G$17),"poor",IF($G$17=MAX($C$17,$E$17,$G$17),"great","ok")))))</f>
        <v>ok</v>
      </c>
      <c r="K40" s="41" t="str">
        <f aca="false">IF($E40&gt;=15,"yes (carrot)",IF($E40&gt;=8,"yes (turnip)",IF($E40&gt;=4,"maybe","no")))</f>
        <v>yes (carrot)</v>
      </c>
      <c r="L40" s="44" t="n">
        <f aca="false">ROUND(6.5/$C40*100*IF(((IF(INDEX(Crops!$G$5:$G$22,MATCH("Sunflower",CropNames,0))="N",$C$17,IF(INDEX(Crops!$G$5:$G$22,MATCH("Sunflower",CropNames,0))="P",$E$17,$G$17)))+(MAX(0,IF(INDEX(Crops!$G$5:$G$22,MATCH("Sunflower",CropNames,0))="N",$C$17,IF(INDEX(Crops!$G$5:$G$22,MATCH("Sunflower",CropNames,0))="P",$E$17,$G$17))-MAX(0,INDEX(Crops!$H$5:$H$22,MATCH("Sunflower",CropNames,0))-MIN(IF(INDEX(Crops!$G$5:$G$22,MATCH("Sunflower",CropNames,0))="N",MIN(150,$C$18+IF($C$13,IFERROR(VLOOKUP($C$14,Fertilizers!$B$6:$E$9,2,FALSE()),0),0)),IF(INDEX(Crops!$G$5:$G$22,MATCH("Sunflower",CropNames,0))="P",MIN(150,$E$18+IF($C$13,IFERROR(VLOOKUP($C$14,Fertilizers!$B$6:$E$9,3,FALSE()),0),0)),MIN(150,$G$18+IF($C$13,IFERROR(VLOOKUP($C$14,Fertilizers!$B$6:$E$9,4,FALSE()),0),0)))),0.25*$C40*TicksPerDay)))))/2&gt;75,1.1,IF(((IF(INDEX(Crops!$G$5:$G$22,MATCH("Sunflower",CropNames,0))="N",$C$17,IF(INDEX(Crops!$G$5:$G$22,MATCH("Sunflower",CropNames,0))="P",$E$17,$G$17)))+(MAX(0,IF(INDEX(Crops!$G$5:$G$22,MATCH("Sunflower",CropNames,0))="N",$C$17,IF(INDEX(Crops!$G$5:$G$22,MATCH("Sunflower",CropNames,0))="P",$E$17,$G$17))-MAX(0,INDEX(Crops!$H$5:$H$22,MATCH("Sunflower",CropNames,0))-MIN(IF(INDEX(Crops!$G$5:$G$22,MATCH("Sunflower",CropNames,0))="N",MIN(150,$C$18+IF($C$13,IFERROR(VLOOKUP($C$14,Fertilizers!$B$6:$E$9,2,FALSE()),0),0)),IF(INDEX(Crops!$G$5:$G$22,MATCH("Sunflower",CropNames,0))="P",MIN(150,$E$18+IF($C$13,IFERROR(VLOOKUP($C$14,Fertilizers!$B$6:$E$9,3,FALSE()),0),0)),MIN(150,$G$18+IF($C$13,IFERROR(VLOOKUP($C$14,Fertilizers!$B$6:$E$9,4,FALSE()),0),0)))),0.25*$C40*TicksPerDay)))))/2&gt;50,1,IF(((IF(INDEX(Crops!$G$5:$G$22,MATCH("Sunflower",CropNames,0))="N",$C$17,IF(INDEX(Crops!$G$5:$G$22,MATCH("Sunflower",CropNames,0))="P",$E$17,$G$17)))+(MAX(0,IF(INDEX(Crops!$G$5:$G$22,MATCH("Sunflower",CropNames,0))="N",$C$17,IF(INDEX(Crops!$G$5:$G$22,MATCH("Sunflower",CropNames,0))="P",$E$17,$G$17))-MAX(0,INDEX(Crops!$H$5:$H$22,MATCH("Sunflower",CropNames,0))-MIN(IF(INDEX(Crops!$G$5:$G$22,MATCH("Sunflower",CropNames,0))="N",MIN(150,$C$18+IF($C$13,IFERROR(VLOOKUP($C$14,Fertilizers!$B$6:$E$9,2,FALSE()),0),0)),IF(INDEX(Crops!$G$5:$G$22,MATCH("Sunflower",CropNames,0))="P",MIN(150,$E$18+IF($C$13,IFERROR(VLOOKUP($C$14,Fertilizers!$B$6:$E$9,3,FALSE()),0),0)),MIN(150,$G$18+IF($C$13,IFERROR(VLOOKUP($C$14,Fertilizers!$B$6:$E$9,4,FALSE()),0),0)))),0.25*$C40*TicksPerDay)))))/2&gt;35,0.9,IF(((IF(INDEX(Crops!$G$5:$G$22,MATCH("Sunflower",CropNames,0))="N",$C$17,IF(INDEX(Crops!$G$5:$G$22,MATCH("Sunflower",CropNames,0))="P",$E$17,$G$17)))+(MAX(0,IF(INDEX(Crops!$G$5:$G$22,MATCH("Sunflower",CropNames,0))="N",$C$17,IF(INDEX(Crops!$G$5:$G$22,MATCH("Sunflower",CropNames,0))="P",$E$17,$G$17))-MAX(0,INDEX(Crops!$H$5:$H$22,MATCH("Sunflower",CropNames,0))-MIN(IF(INDEX(Crops!$G$5:$G$22,MATCH("Sunflower",CropNames,0))="N",MIN(150,$C$18+IF($C$13,IFERROR(VLOOKUP($C$14,Fertilizers!$B$6:$E$9,2,FALSE()),0),0)),IF(INDEX(Crops!$G$5:$G$22,MATCH("Sunflower",CropNames,0))="P",MIN(150,$E$18+IF($C$13,IFERROR(VLOOKUP($C$14,Fertilizers!$B$6:$E$9,3,FALSE()),0),0)),MIN(150,$G$18+IF($C$13,IFERROR(VLOOKUP($C$14,Fertilizers!$B$6:$E$9,4,FALSE()),0),0)))),0.25*$C40*TicksPerDay)))))/2&gt;20,0.6,IF(((IF(INDEX(Crops!$G$5:$G$22,MATCH("Sunflower",CropNames,0))="N",$C$17,IF(INDEX(Crops!$G$5:$G$22,MATCH("Sunflower",CropNames,0))="P",$E$17,$G$17)))+(MAX(0,IF(INDEX(Crops!$G$5:$G$22,MATCH("Sunflower",CropNames,0))="N",$C$17,IF(INDEX(Crops!$G$5:$G$22,MATCH("Sunflower",CropNames,0))="P",$E$17,$G$17))-MAX(0,INDEX(Crops!$H$5:$H$22,MATCH("Sunflower",CropNames,0))-MIN(IF(INDEX(Crops!$G$5:$G$22,MATCH("Sunflower",CropNames,0))="N",MIN(150,$C$18+IF($C$13,IFERROR(VLOOKUP($C$14,Fertilizers!$B$6:$E$9,2,FALSE()),0),0)),IF(INDEX(Crops!$G$5:$G$22,MATCH("Sunflower",CropNames,0))="P",MIN(150,$E$18+IF($C$13,IFERROR(VLOOKUP($C$14,Fertilizers!$B$6:$E$9,3,FALSE()),0),0)),MIN(150,$G$18+IF($C$13,IFERROR(VLOOKUP($C$14,Fertilizers!$B$6:$E$9,4,FALSE()),0),0)))),0.25*$C40*TicksPerDay)))))/2&gt;5,0.3,0.1)))))*IF($I40="✓ yes",1,IF($I40="barely",0.6,0))*IF($H40="✓ ok",1,IFERROR(IF(ISBLANK(INDEX(Crops!$O$5:$O$22,MATCH("Sunflower",CropNames,0))),DefaultStuntMul,INDEX(Crops!$O$5:$O$22,MATCH("Sunflower",CropNames,0))),DefaultStuntMul))*IF($J40="poor",0.7,IF($J40="great",1.2,1))*IF(LEFT($K40,3)="yes",1.3,IF($K40="maybe",1.1,1)),1)</f>
        <v>49.7</v>
      </c>
      <c r="M40" s="41" t="str">
        <f aca="false">IF($I40="✗ no","won't finish",IF($H40="✓ ok",IF($L40&gt;=RANK_TOP3,"top pick",IF($L40&gt;=RANK_TOP10,"good","ok")),"risk: "&amp;$H40))</f>
        <v>good</v>
      </c>
      <c r="N40" s="38"/>
    </row>
    <row r="41" customFormat="false" ht="21.75" hidden="false" customHeight="true" outlineLevel="0" collapsed="false">
      <c r="A41" s="45"/>
      <c r="B41" s="46" t="s">
        <v>112</v>
      </c>
      <c r="C41" s="47" t="n">
        <f aca="false">INDEX(Crops!$F$5:$F$22,MATCH("Soybean",CropNames,0))</f>
        <v>10.26</v>
      </c>
      <c r="D41" s="48" t="str">
        <f aca="false">$C$9&amp;"→"&amp;IF(ROUND($C$9+$C41,0)&gt;DaysPerYear,ROUND($C$9+$C41-DaysPerYear,0),ROUND($C$9+$C41,0))</f>
        <v>50→60</v>
      </c>
      <c r="E41" s="49" t="n">
        <f aca="false">MAX(0,ROUND(SeasonEndDay-($C$9+$C41),0))</f>
        <v>24</v>
      </c>
      <c r="F41" s="47" t="n">
        <f aca="false">IF($C$11,IF(ROUND($C$9+$C41,0)&lt;=DaysPerYear,MIN(INDEX(Climate!$H$5:$H$112,$C$9):INDEX(Climate!$H$5:$H$112,ROUND($C$9+$C41,0))),MIN(MIN(INDEX(Climate!$H$5:$H$112,$C$9):INDEX(Climate!$H$5:$H$112,ClimateRows)),MIN(INDEX(Climate!$H$5:$H$112,1):INDEX(Climate!$H$5:$H$112,ROUND($C$9+$C41-DaysPerYear,0))))),IF(ROUND($C$9+$C41,0)&lt;=DaysPerYear,MIN(INDEX(Climate!$E$5:$E$112,$C$9):INDEX(Climate!$E$5:$E$112,ROUND($C$9+$C41,0))),MIN(MIN(INDEX(Climate!$E$5:$E$112,$C$9):INDEX(Climate!$E$5:$E$112,ClimateRows)),MIN(INDEX(Climate!$E$5:$E$112,1):INDEX(Climate!$E$5:$E$112,ROUND($C$9+$C41-DaysPerYear,0))))))</f>
        <v>4.66</v>
      </c>
      <c r="G41" s="47" t="n">
        <f aca="false">IF($C$11,IF(ROUND($C$9+$C41,0)&lt;=DaysPerYear,MAX(INDEX(Climate!$I$5:$I$112,$C$9):INDEX(Climate!$I$5:$I$112,ROUND($C$9+$C41,0))),MAX(MAX(INDEX(Climate!$I$5:$I$112,$C$9):INDEX(Climate!$I$5:$I$112,ClimateRows)),MAX(INDEX(Climate!$I$5:$I$112,1):INDEX(Climate!$I$5:$I$112,ROUND($C$9+$C41-DaysPerYear,0))))),IF(ROUND($C$9+$C41,0)&lt;=DaysPerYear,MAX(INDEX(Climate!$F$5:$F$112,$C$9):INDEX(Climate!$F$5:$F$112,ROUND($C$9+$C41,0))),MAX(MAX(INDEX(Climate!$F$5:$F$112,$C$9):INDEX(Climate!$F$5:$F$112,ClimateRows)),MAX(INDEX(Climate!$F$5:$F$112,1):INDEX(Climate!$F$5:$F$112,ROUND($C$9+$C41-DaysPerYear,0))))))</f>
        <v>24.07</v>
      </c>
      <c r="H41" s="50" t="str">
        <f aca="false">IF(AND($F41&lt;INDEX(Crops!$K$5:$K$22,MATCH("Soybean",CropNames,0)),$G41&gt;INDEX(Crops!$M$5:$M$22,MATCH("Soybean",CropNames,0))),"C+H",IF($F41&lt;INDEX(Crops!$K$5:$K$22,MATCH("Soybean",CropNames,0)),"COLD",IF($G41&gt;INDEX(Crops!$M$5:$M$22,MATCH("Soybean",CropNames,0)),"HEAT","✓ ok")))</f>
        <v>✓ ok</v>
      </c>
      <c r="I41" s="50" t="str">
        <f aca="false">IF($C$9+$C41&gt;SeasonEndDay,"✗ no",IF(SeasonEndDay-($C$9+$C41)&lt;3,"barely","✓ yes"))</f>
        <v>✓ yes</v>
      </c>
      <c r="J41" s="48" t="str">
        <f aca="false">IF(MAX($C$17,$E$17,$G$17)-MIN($C$17,$E$17,$G$17)&lt;=5,"ok",IF(INDEX(Crops!$G$5:$G$22,MATCH("Soybean",CropNames,0))="N",IF($C$17=MIN($C$17,$E$17,$G$17),"poor",IF($C$17=MAX($C$17,$E$17,$G$17),"great","ok")),IF(INDEX(Crops!$G$5:$G$22,MATCH("Soybean",CropNames,0))="P",IF($E$17=MIN($C$17,$E$17,$G$17),"poor",IF($E$17=MAX($C$17,$E$17,$G$17),"great","ok")),IF($G$17=MIN($C$17,$E$17,$G$17),"poor",IF($G$17=MAX($C$17,$E$17,$G$17),"great","ok")))))</f>
        <v>ok</v>
      </c>
      <c r="K41" s="48" t="str">
        <f aca="false">IF($E41&gt;=15,"yes (carrot)",IF($E41&gt;=8,"yes (turnip)",IF($E41&gt;=4,"maybe","no")))</f>
        <v>yes (carrot)</v>
      </c>
      <c r="L41" s="51" t="n">
        <f aca="false">ROUND(6/$C41*100*IF(((IF(INDEX(Crops!$G$5:$G$22,MATCH("Soybean",CropNames,0))="N",$C$17,IF(INDEX(Crops!$G$5:$G$22,MATCH("Soybean",CropNames,0))="P",$E$17,$G$17)))+(MAX(0,IF(INDEX(Crops!$G$5:$G$22,MATCH("Soybean",CropNames,0))="N",$C$17,IF(INDEX(Crops!$G$5:$G$22,MATCH("Soybean",CropNames,0))="P",$E$17,$G$17))-MAX(0,INDEX(Crops!$H$5:$H$22,MATCH("Soybean",CropNames,0))-MIN(IF(INDEX(Crops!$G$5:$G$22,MATCH("Soybean",CropNames,0))="N",MIN(150,$C$18+IF($C$13,IFERROR(VLOOKUP($C$14,Fertilizers!$B$6:$E$9,2,FALSE()),0),0)),IF(INDEX(Crops!$G$5:$G$22,MATCH("Soybean",CropNames,0))="P",MIN(150,$E$18+IF($C$13,IFERROR(VLOOKUP($C$14,Fertilizers!$B$6:$E$9,3,FALSE()),0),0)),MIN(150,$G$18+IF($C$13,IFERROR(VLOOKUP($C$14,Fertilizers!$B$6:$E$9,4,FALSE()),0),0)))),0.25*$C41*TicksPerDay)))))/2&gt;75,1.1,IF(((IF(INDEX(Crops!$G$5:$G$22,MATCH("Soybean",CropNames,0))="N",$C$17,IF(INDEX(Crops!$G$5:$G$22,MATCH("Soybean",CropNames,0))="P",$E$17,$G$17)))+(MAX(0,IF(INDEX(Crops!$G$5:$G$22,MATCH("Soybean",CropNames,0))="N",$C$17,IF(INDEX(Crops!$G$5:$G$22,MATCH("Soybean",CropNames,0))="P",$E$17,$G$17))-MAX(0,INDEX(Crops!$H$5:$H$22,MATCH("Soybean",CropNames,0))-MIN(IF(INDEX(Crops!$G$5:$G$22,MATCH("Soybean",CropNames,0))="N",MIN(150,$C$18+IF($C$13,IFERROR(VLOOKUP($C$14,Fertilizers!$B$6:$E$9,2,FALSE()),0),0)),IF(INDEX(Crops!$G$5:$G$22,MATCH("Soybean",CropNames,0))="P",MIN(150,$E$18+IF($C$13,IFERROR(VLOOKUP($C$14,Fertilizers!$B$6:$E$9,3,FALSE()),0),0)),MIN(150,$G$18+IF($C$13,IFERROR(VLOOKUP($C$14,Fertilizers!$B$6:$E$9,4,FALSE()),0),0)))),0.25*$C41*TicksPerDay)))))/2&gt;50,1,IF(((IF(INDEX(Crops!$G$5:$G$22,MATCH("Soybean",CropNames,0))="N",$C$17,IF(INDEX(Crops!$G$5:$G$22,MATCH("Soybean",CropNames,0))="P",$E$17,$G$17)))+(MAX(0,IF(INDEX(Crops!$G$5:$G$22,MATCH("Soybean",CropNames,0))="N",$C$17,IF(INDEX(Crops!$G$5:$G$22,MATCH("Soybean",CropNames,0))="P",$E$17,$G$17))-MAX(0,INDEX(Crops!$H$5:$H$22,MATCH("Soybean",CropNames,0))-MIN(IF(INDEX(Crops!$G$5:$G$22,MATCH("Soybean",CropNames,0))="N",MIN(150,$C$18+IF($C$13,IFERROR(VLOOKUP($C$14,Fertilizers!$B$6:$E$9,2,FALSE()),0),0)),IF(INDEX(Crops!$G$5:$G$22,MATCH("Soybean",CropNames,0))="P",MIN(150,$E$18+IF($C$13,IFERROR(VLOOKUP($C$14,Fertilizers!$B$6:$E$9,3,FALSE()),0),0)),MIN(150,$G$18+IF($C$13,IFERROR(VLOOKUP($C$14,Fertilizers!$B$6:$E$9,4,FALSE()),0),0)))),0.25*$C41*TicksPerDay)))))/2&gt;35,0.9,IF(((IF(INDEX(Crops!$G$5:$G$22,MATCH("Soybean",CropNames,0))="N",$C$17,IF(INDEX(Crops!$G$5:$G$22,MATCH("Soybean",CropNames,0))="P",$E$17,$G$17)))+(MAX(0,IF(INDEX(Crops!$G$5:$G$22,MATCH("Soybean",CropNames,0))="N",$C$17,IF(INDEX(Crops!$G$5:$G$22,MATCH("Soybean",CropNames,0))="P",$E$17,$G$17))-MAX(0,INDEX(Crops!$H$5:$H$22,MATCH("Soybean",CropNames,0))-MIN(IF(INDEX(Crops!$G$5:$G$22,MATCH("Soybean",CropNames,0))="N",MIN(150,$C$18+IF($C$13,IFERROR(VLOOKUP($C$14,Fertilizers!$B$6:$E$9,2,FALSE()),0),0)),IF(INDEX(Crops!$G$5:$G$22,MATCH("Soybean",CropNames,0))="P",MIN(150,$E$18+IF($C$13,IFERROR(VLOOKUP($C$14,Fertilizers!$B$6:$E$9,3,FALSE()),0),0)),MIN(150,$G$18+IF($C$13,IFERROR(VLOOKUP($C$14,Fertilizers!$B$6:$E$9,4,FALSE()),0),0)))),0.25*$C41*TicksPerDay)))))/2&gt;20,0.6,IF(((IF(INDEX(Crops!$G$5:$G$22,MATCH("Soybean",CropNames,0))="N",$C$17,IF(INDEX(Crops!$G$5:$G$22,MATCH("Soybean",CropNames,0))="P",$E$17,$G$17)))+(MAX(0,IF(INDEX(Crops!$G$5:$G$22,MATCH("Soybean",CropNames,0))="N",$C$17,IF(INDEX(Crops!$G$5:$G$22,MATCH("Soybean",CropNames,0))="P",$E$17,$G$17))-MAX(0,INDEX(Crops!$H$5:$H$22,MATCH("Soybean",CropNames,0))-MIN(IF(INDEX(Crops!$G$5:$G$22,MATCH("Soybean",CropNames,0))="N",MIN(150,$C$18+IF($C$13,IFERROR(VLOOKUP($C$14,Fertilizers!$B$6:$E$9,2,FALSE()),0),0)),IF(INDEX(Crops!$G$5:$G$22,MATCH("Soybean",CropNames,0))="P",MIN(150,$E$18+IF($C$13,IFERROR(VLOOKUP($C$14,Fertilizers!$B$6:$E$9,3,FALSE()),0),0)),MIN(150,$G$18+IF($C$13,IFERROR(VLOOKUP($C$14,Fertilizers!$B$6:$E$9,4,FALSE()),0),0)))),0.25*$C41*TicksPerDay)))))/2&gt;5,0.3,0.1)))))*IF($I41="✓ yes",1,IF($I41="barely",0.6,0))*IF($H41="✓ ok",1,IFERROR(IF(ISBLANK(INDEX(Crops!$O$5:$O$22,MATCH("Soybean",CropNames,0))),DefaultStuntMul,INDEX(Crops!$O$5:$O$22,MATCH("Soybean",CropNames,0))),DefaultStuntMul))*IF($J41="poor",0.7,IF($J41="great",1.2,1))*IF(LEFT($K41,3)="yes",1.3,IF($K41="maybe",1.1,1)),1)</f>
        <v>68.4</v>
      </c>
      <c r="M41" s="48" t="str">
        <f aca="false">IF($I41="✗ no","won't finish",IF($H41="✓ ok",IF($L41&gt;=RANK_TOP3,"top pick",IF($L41&gt;=RANK_TOP10,"good","ok")),"risk: "&amp;$H41))</f>
        <v>good</v>
      </c>
      <c r="N41" s="45"/>
    </row>
    <row r="42" customFormat="false" ht="21.75" hidden="false" customHeight="true" outlineLevel="0" collapsed="false">
      <c r="A42" s="38"/>
      <c r="B42" s="39" t="s">
        <v>113</v>
      </c>
      <c r="C42" s="40" t="n">
        <f aca="false">INDEX(Crops!$F$5:$F$22,MATCH("Pumpkin",CropNames,0))</f>
        <v>15.3</v>
      </c>
      <c r="D42" s="41" t="str">
        <f aca="false">$C$9&amp;"→"&amp;IF(ROUND($C$9+$C42,0)&gt;DaysPerYear,ROUND($C$9+$C42-DaysPerYear,0),ROUND($C$9+$C42,0))</f>
        <v>50→65</v>
      </c>
      <c r="E42" s="42" t="n">
        <f aca="false">MAX(0,ROUND(SeasonEndDay-($C$9+$C42),0))</f>
        <v>19</v>
      </c>
      <c r="F42" s="40" t="n">
        <f aca="false">IF($C$11,IF(ROUND($C$9+$C42,0)&lt;=DaysPerYear,MIN(INDEX(Climate!$H$5:$H$112,$C$9):INDEX(Climate!$H$5:$H$112,ROUND($C$9+$C42,0))),MIN(MIN(INDEX(Climate!$H$5:$H$112,$C$9):INDEX(Climate!$H$5:$H$112,ClimateRows)),MIN(INDEX(Climate!$H$5:$H$112,1):INDEX(Climate!$H$5:$H$112,ROUND($C$9+$C42-DaysPerYear,0))))),IF(ROUND($C$9+$C42,0)&lt;=DaysPerYear,MIN(INDEX(Climate!$E$5:$E$112,$C$9):INDEX(Climate!$E$5:$E$112,ROUND($C$9+$C42,0))),MIN(MIN(INDEX(Climate!$E$5:$E$112,$C$9):INDEX(Climate!$E$5:$E$112,ClimateRows)),MIN(INDEX(Climate!$E$5:$E$112,1):INDEX(Climate!$E$5:$E$112,ROUND($C$9+$C42-DaysPerYear,0))))))</f>
        <v>4.66</v>
      </c>
      <c r="G42" s="40" t="n">
        <f aca="false">IF($C$11,IF(ROUND($C$9+$C42,0)&lt;=DaysPerYear,MAX(INDEX(Climate!$I$5:$I$112,$C$9):INDEX(Climate!$I$5:$I$112,ROUND($C$9+$C42,0))),MAX(MAX(INDEX(Climate!$I$5:$I$112,$C$9):INDEX(Climate!$I$5:$I$112,ClimateRows)),MAX(INDEX(Climate!$I$5:$I$112,1):INDEX(Climate!$I$5:$I$112,ROUND($C$9+$C42-DaysPerYear,0))))),IF(ROUND($C$9+$C42,0)&lt;=DaysPerYear,MAX(INDEX(Climate!$F$5:$F$112,$C$9):INDEX(Climate!$F$5:$F$112,ROUND($C$9+$C42,0))),MAX(MAX(INDEX(Climate!$F$5:$F$112,$C$9):INDEX(Climate!$F$5:$F$112,ClimateRows)),MAX(INDEX(Climate!$F$5:$F$112,1):INDEX(Climate!$F$5:$F$112,ROUND($C$9+$C42-DaysPerYear,0))))))</f>
        <v>24.64</v>
      </c>
      <c r="H42" s="43" t="str">
        <f aca="false">IF(AND($F42&lt;INDEX(Crops!$K$5:$K$22,MATCH("Pumpkin",CropNames,0)),$G42&gt;INDEX(Crops!$M$5:$M$22,MATCH("Pumpkin",CropNames,0))),"C+H",IF($F42&lt;INDEX(Crops!$K$5:$K$22,MATCH("Pumpkin",CropNames,0)),"COLD",IF($G42&gt;INDEX(Crops!$M$5:$M$22,MATCH("Pumpkin",CropNames,0)),"HEAT","✓ ok")))</f>
        <v>✓ ok</v>
      </c>
      <c r="I42" s="43" t="str">
        <f aca="false">IF($C$9+$C42&gt;SeasonEndDay,"✗ no",IF(SeasonEndDay-($C$9+$C42)&lt;3,"barely","✓ yes"))</f>
        <v>✓ yes</v>
      </c>
      <c r="J42" s="41" t="str">
        <f aca="false">IF(MAX($C$17,$E$17,$G$17)-MIN($C$17,$E$17,$G$17)&lt;=5,"ok",IF(INDEX(Crops!$G$5:$G$22,MATCH("Pumpkin",CropNames,0))="N",IF($C$17=MIN($C$17,$E$17,$G$17),"poor",IF($C$17=MAX($C$17,$E$17,$G$17),"great","ok")),IF(INDEX(Crops!$G$5:$G$22,MATCH("Pumpkin",CropNames,0))="P",IF($E$17=MIN($C$17,$E$17,$G$17),"poor",IF($E$17=MAX($C$17,$E$17,$G$17),"great","ok")),IF($G$17=MIN($C$17,$E$17,$G$17),"poor",IF($G$17=MAX($C$17,$E$17,$G$17),"great","ok")))))</f>
        <v>ok</v>
      </c>
      <c r="K42" s="41" t="str">
        <f aca="false">IF($E42&gt;=15,"yes (carrot)",IF($E42&gt;=8,"yes (turnip)",IF($E42&gt;=4,"maybe","no")))</f>
        <v>yes (carrot)</v>
      </c>
      <c r="L42" s="44" t="n">
        <f aca="false">ROUND(1.5/$C42*100*IF(((IF(INDEX(Crops!$G$5:$G$22,MATCH("Pumpkin",CropNames,0))="N",$C$17,IF(INDEX(Crops!$G$5:$G$22,MATCH("Pumpkin",CropNames,0))="P",$E$17,$G$17)))+(MAX(0,IF(INDEX(Crops!$G$5:$G$22,MATCH("Pumpkin",CropNames,0))="N",$C$17,IF(INDEX(Crops!$G$5:$G$22,MATCH("Pumpkin",CropNames,0))="P",$E$17,$G$17))-MAX(0,INDEX(Crops!$H$5:$H$22,MATCH("Pumpkin",CropNames,0))-MIN(IF(INDEX(Crops!$G$5:$G$22,MATCH("Pumpkin",CropNames,0))="N",MIN(150,$C$18+IF($C$13,IFERROR(VLOOKUP($C$14,Fertilizers!$B$6:$E$9,2,FALSE()),0),0)),IF(INDEX(Crops!$G$5:$G$22,MATCH("Pumpkin",CropNames,0))="P",MIN(150,$E$18+IF($C$13,IFERROR(VLOOKUP($C$14,Fertilizers!$B$6:$E$9,3,FALSE()),0),0)),MIN(150,$G$18+IF($C$13,IFERROR(VLOOKUP($C$14,Fertilizers!$B$6:$E$9,4,FALSE()),0),0)))),0.25*$C42*TicksPerDay)))))/2&gt;75,1.1,IF(((IF(INDEX(Crops!$G$5:$G$22,MATCH("Pumpkin",CropNames,0))="N",$C$17,IF(INDEX(Crops!$G$5:$G$22,MATCH("Pumpkin",CropNames,0))="P",$E$17,$G$17)))+(MAX(0,IF(INDEX(Crops!$G$5:$G$22,MATCH("Pumpkin",CropNames,0))="N",$C$17,IF(INDEX(Crops!$G$5:$G$22,MATCH("Pumpkin",CropNames,0))="P",$E$17,$G$17))-MAX(0,INDEX(Crops!$H$5:$H$22,MATCH("Pumpkin",CropNames,0))-MIN(IF(INDEX(Crops!$G$5:$G$22,MATCH("Pumpkin",CropNames,0))="N",MIN(150,$C$18+IF($C$13,IFERROR(VLOOKUP($C$14,Fertilizers!$B$6:$E$9,2,FALSE()),0),0)),IF(INDEX(Crops!$G$5:$G$22,MATCH("Pumpkin",CropNames,0))="P",MIN(150,$E$18+IF($C$13,IFERROR(VLOOKUP($C$14,Fertilizers!$B$6:$E$9,3,FALSE()),0),0)),MIN(150,$G$18+IF($C$13,IFERROR(VLOOKUP($C$14,Fertilizers!$B$6:$E$9,4,FALSE()),0),0)))),0.25*$C42*TicksPerDay)))))/2&gt;50,1,IF(((IF(INDEX(Crops!$G$5:$G$22,MATCH("Pumpkin",CropNames,0))="N",$C$17,IF(INDEX(Crops!$G$5:$G$22,MATCH("Pumpkin",CropNames,0))="P",$E$17,$G$17)))+(MAX(0,IF(INDEX(Crops!$G$5:$G$22,MATCH("Pumpkin",CropNames,0))="N",$C$17,IF(INDEX(Crops!$G$5:$G$22,MATCH("Pumpkin",CropNames,0))="P",$E$17,$G$17))-MAX(0,INDEX(Crops!$H$5:$H$22,MATCH("Pumpkin",CropNames,0))-MIN(IF(INDEX(Crops!$G$5:$G$22,MATCH("Pumpkin",CropNames,0))="N",MIN(150,$C$18+IF($C$13,IFERROR(VLOOKUP($C$14,Fertilizers!$B$6:$E$9,2,FALSE()),0),0)),IF(INDEX(Crops!$G$5:$G$22,MATCH("Pumpkin",CropNames,0))="P",MIN(150,$E$18+IF($C$13,IFERROR(VLOOKUP($C$14,Fertilizers!$B$6:$E$9,3,FALSE()),0),0)),MIN(150,$G$18+IF($C$13,IFERROR(VLOOKUP($C$14,Fertilizers!$B$6:$E$9,4,FALSE()),0),0)))),0.25*$C42*TicksPerDay)))))/2&gt;35,0.9,IF(((IF(INDEX(Crops!$G$5:$G$22,MATCH("Pumpkin",CropNames,0))="N",$C$17,IF(INDEX(Crops!$G$5:$G$22,MATCH("Pumpkin",CropNames,0))="P",$E$17,$G$17)))+(MAX(0,IF(INDEX(Crops!$G$5:$G$22,MATCH("Pumpkin",CropNames,0))="N",$C$17,IF(INDEX(Crops!$G$5:$G$22,MATCH("Pumpkin",CropNames,0))="P",$E$17,$G$17))-MAX(0,INDEX(Crops!$H$5:$H$22,MATCH("Pumpkin",CropNames,0))-MIN(IF(INDEX(Crops!$G$5:$G$22,MATCH("Pumpkin",CropNames,0))="N",MIN(150,$C$18+IF($C$13,IFERROR(VLOOKUP($C$14,Fertilizers!$B$6:$E$9,2,FALSE()),0),0)),IF(INDEX(Crops!$G$5:$G$22,MATCH("Pumpkin",CropNames,0))="P",MIN(150,$E$18+IF($C$13,IFERROR(VLOOKUP($C$14,Fertilizers!$B$6:$E$9,3,FALSE()),0),0)),MIN(150,$G$18+IF($C$13,IFERROR(VLOOKUP($C$14,Fertilizers!$B$6:$E$9,4,FALSE()),0),0)))),0.25*$C42*TicksPerDay)))))/2&gt;20,0.6,IF(((IF(INDEX(Crops!$G$5:$G$22,MATCH("Pumpkin",CropNames,0))="N",$C$17,IF(INDEX(Crops!$G$5:$G$22,MATCH("Pumpkin",CropNames,0))="P",$E$17,$G$17)))+(MAX(0,IF(INDEX(Crops!$G$5:$G$22,MATCH("Pumpkin",CropNames,0))="N",$C$17,IF(INDEX(Crops!$G$5:$G$22,MATCH("Pumpkin",CropNames,0))="P",$E$17,$G$17))-MAX(0,INDEX(Crops!$H$5:$H$22,MATCH("Pumpkin",CropNames,0))-MIN(IF(INDEX(Crops!$G$5:$G$22,MATCH("Pumpkin",CropNames,0))="N",MIN(150,$C$18+IF($C$13,IFERROR(VLOOKUP($C$14,Fertilizers!$B$6:$E$9,2,FALSE()),0),0)),IF(INDEX(Crops!$G$5:$G$22,MATCH("Pumpkin",CropNames,0))="P",MIN(150,$E$18+IF($C$13,IFERROR(VLOOKUP($C$14,Fertilizers!$B$6:$E$9,3,FALSE()),0),0)),MIN(150,$G$18+IF($C$13,IFERROR(VLOOKUP($C$14,Fertilizers!$B$6:$E$9,4,FALSE()),0),0)))),0.25*$C42*TicksPerDay)))))/2&gt;5,0.3,0.1)))))*IF($I42="✓ yes",1,IF($I42="barely",0.6,0))*IF($H42="✓ ok",1,IFERROR(IF(ISBLANK(INDEX(Crops!$O$5:$O$22,MATCH("Pumpkin",CropNames,0))),DefaultStuntMul,INDEX(Crops!$O$5:$O$22,MATCH("Pumpkin",CropNames,0))),DefaultStuntMul))*IF($J42="poor",0.7,IF($J42="great",1.2,1))*IF(LEFT($K42,3)="yes",1.3,IF($K42="maybe",1.1,1)),1)</f>
        <v>11.5</v>
      </c>
      <c r="M42" s="41" t="str">
        <f aca="false">IF($I42="✗ no","won't finish",IF($H42="✓ ok",IF($L42&gt;=RANK_TOP3,"top pick",IF($L42&gt;=RANK_TOP10,"good","ok")),"risk: "&amp;$H42))</f>
        <v>ok</v>
      </c>
      <c r="N42" s="38"/>
    </row>
    <row r="43" customFormat="false" ht="21.75" hidden="false" customHeight="true" outlineLevel="0" collapsed="false">
      <c r="A43" s="45"/>
      <c r="B43" s="46" t="s">
        <v>114</v>
      </c>
      <c r="C43" s="47" t="n">
        <f aca="false">INDEX(Crops!$F$5:$F$22,MATCH("Amaranth",CropNames,0))</f>
        <v>16.02</v>
      </c>
      <c r="D43" s="48" t="str">
        <f aca="false">$C$9&amp;"→"&amp;IF(ROUND($C$9+$C43,0)&gt;DaysPerYear,ROUND($C$9+$C43-DaysPerYear,0),ROUND($C$9+$C43,0))</f>
        <v>50→66</v>
      </c>
      <c r="E43" s="49" t="n">
        <f aca="false">MAX(0,ROUND(SeasonEndDay-($C$9+$C43),0))</f>
        <v>18</v>
      </c>
      <c r="F43" s="47" t="n">
        <f aca="false">IF($C$11,IF(ROUND($C$9+$C43,0)&lt;=DaysPerYear,MIN(INDEX(Climate!$H$5:$H$112,$C$9):INDEX(Climate!$H$5:$H$112,ROUND($C$9+$C43,0))),MIN(MIN(INDEX(Climate!$H$5:$H$112,$C$9):INDEX(Climate!$H$5:$H$112,ClimateRows)),MIN(INDEX(Climate!$H$5:$H$112,1):INDEX(Climate!$H$5:$H$112,ROUND($C$9+$C43-DaysPerYear,0))))),IF(ROUND($C$9+$C43,0)&lt;=DaysPerYear,MIN(INDEX(Climate!$E$5:$E$112,$C$9):INDEX(Climate!$E$5:$E$112,ROUND($C$9+$C43,0))),MIN(MIN(INDEX(Climate!$E$5:$E$112,$C$9):INDEX(Climate!$E$5:$E$112,ClimateRows)),MIN(INDEX(Climate!$E$5:$E$112,1):INDEX(Climate!$E$5:$E$112,ROUND($C$9+$C43-DaysPerYear,0))))))</f>
        <v>4.66</v>
      </c>
      <c r="G43" s="47" t="n">
        <f aca="false">IF($C$11,IF(ROUND($C$9+$C43,0)&lt;=DaysPerYear,MAX(INDEX(Climate!$I$5:$I$112,$C$9):INDEX(Climate!$I$5:$I$112,ROUND($C$9+$C43,0))),MAX(MAX(INDEX(Climate!$I$5:$I$112,$C$9):INDEX(Climate!$I$5:$I$112,ClimateRows)),MAX(INDEX(Climate!$I$5:$I$112,1):INDEX(Climate!$I$5:$I$112,ROUND($C$9+$C43-DaysPerYear,0))))),IF(ROUND($C$9+$C43,0)&lt;=DaysPerYear,MAX(INDEX(Climate!$F$5:$F$112,$C$9):INDEX(Climate!$F$5:$F$112,ROUND($C$9+$C43,0))),MAX(MAX(INDEX(Climate!$F$5:$F$112,$C$9):INDEX(Climate!$F$5:$F$112,ClimateRows)),MAX(INDEX(Climate!$F$5:$F$112,1):INDEX(Climate!$F$5:$F$112,ROUND($C$9+$C43-DaysPerYear,0))))))</f>
        <v>24.64</v>
      </c>
      <c r="H43" s="50" t="str">
        <f aca="false">IF(AND($F43&lt;INDEX(Crops!$K$5:$K$22,MATCH("Amaranth",CropNames,0)),$G43&gt;INDEX(Crops!$M$5:$M$22,MATCH("Amaranth",CropNames,0))),"C+H",IF($F43&lt;INDEX(Crops!$K$5:$K$22,MATCH("Amaranth",CropNames,0)),"COLD",IF($G43&gt;INDEX(Crops!$M$5:$M$22,MATCH("Amaranth",CropNames,0)),"HEAT","✓ ok")))</f>
        <v>COLD</v>
      </c>
      <c r="I43" s="50" t="str">
        <f aca="false">IF($C$9+$C43&gt;SeasonEndDay,"✗ no",IF(SeasonEndDay-($C$9+$C43)&lt;3,"barely","✓ yes"))</f>
        <v>✓ yes</v>
      </c>
      <c r="J43" s="48" t="str">
        <f aca="false">IF(MAX($C$17,$E$17,$G$17)-MIN($C$17,$E$17,$G$17)&lt;=5,"ok",IF(INDEX(Crops!$G$5:$G$22,MATCH("Amaranth",CropNames,0))="N",IF($C$17=MIN($C$17,$E$17,$G$17),"poor",IF($C$17=MAX($C$17,$E$17,$G$17),"great","ok")),IF(INDEX(Crops!$G$5:$G$22,MATCH("Amaranth",CropNames,0))="P",IF($E$17=MIN($C$17,$E$17,$G$17),"poor",IF($E$17=MAX($C$17,$E$17,$G$17),"great","ok")),IF($G$17=MIN($C$17,$E$17,$G$17),"poor",IF($G$17=MAX($C$17,$E$17,$G$17),"great","ok")))))</f>
        <v>ok</v>
      </c>
      <c r="K43" s="48" t="str">
        <f aca="false">IF($E43&gt;=15,"yes (carrot)",IF($E43&gt;=8,"yes (turnip)",IF($E43&gt;=4,"maybe","no")))</f>
        <v>yes (carrot)</v>
      </c>
      <c r="L43" s="51" t="n">
        <f aca="false">ROUND(3/$C43*100*IF(((IF(INDEX(Crops!$G$5:$G$22,MATCH("Amaranth",CropNames,0))="N",$C$17,IF(INDEX(Crops!$G$5:$G$22,MATCH("Amaranth",CropNames,0))="P",$E$17,$G$17)))+(MAX(0,IF(INDEX(Crops!$G$5:$G$22,MATCH("Amaranth",CropNames,0))="N",$C$17,IF(INDEX(Crops!$G$5:$G$22,MATCH("Amaranth",CropNames,0))="P",$E$17,$G$17))-MAX(0,INDEX(Crops!$H$5:$H$22,MATCH("Amaranth",CropNames,0))-MIN(IF(INDEX(Crops!$G$5:$G$22,MATCH("Amaranth",CropNames,0))="N",MIN(150,$C$18+IF($C$13,IFERROR(VLOOKUP($C$14,Fertilizers!$B$6:$E$9,2,FALSE()),0),0)),IF(INDEX(Crops!$G$5:$G$22,MATCH("Amaranth",CropNames,0))="P",MIN(150,$E$18+IF($C$13,IFERROR(VLOOKUP($C$14,Fertilizers!$B$6:$E$9,3,FALSE()),0),0)),MIN(150,$G$18+IF($C$13,IFERROR(VLOOKUP($C$14,Fertilizers!$B$6:$E$9,4,FALSE()),0),0)))),0.25*$C43*TicksPerDay)))))/2&gt;75,1.1,IF(((IF(INDEX(Crops!$G$5:$G$22,MATCH("Amaranth",CropNames,0))="N",$C$17,IF(INDEX(Crops!$G$5:$G$22,MATCH("Amaranth",CropNames,0))="P",$E$17,$G$17)))+(MAX(0,IF(INDEX(Crops!$G$5:$G$22,MATCH("Amaranth",CropNames,0))="N",$C$17,IF(INDEX(Crops!$G$5:$G$22,MATCH("Amaranth",CropNames,0))="P",$E$17,$G$17))-MAX(0,INDEX(Crops!$H$5:$H$22,MATCH("Amaranth",CropNames,0))-MIN(IF(INDEX(Crops!$G$5:$G$22,MATCH("Amaranth",CropNames,0))="N",MIN(150,$C$18+IF($C$13,IFERROR(VLOOKUP($C$14,Fertilizers!$B$6:$E$9,2,FALSE()),0),0)),IF(INDEX(Crops!$G$5:$G$22,MATCH("Amaranth",CropNames,0))="P",MIN(150,$E$18+IF($C$13,IFERROR(VLOOKUP($C$14,Fertilizers!$B$6:$E$9,3,FALSE()),0),0)),MIN(150,$G$18+IF($C$13,IFERROR(VLOOKUP($C$14,Fertilizers!$B$6:$E$9,4,FALSE()),0),0)))),0.25*$C43*TicksPerDay)))))/2&gt;50,1,IF(((IF(INDEX(Crops!$G$5:$G$22,MATCH("Amaranth",CropNames,0))="N",$C$17,IF(INDEX(Crops!$G$5:$G$22,MATCH("Amaranth",CropNames,0))="P",$E$17,$G$17)))+(MAX(0,IF(INDEX(Crops!$G$5:$G$22,MATCH("Amaranth",CropNames,0))="N",$C$17,IF(INDEX(Crops!$G$5:$G$22,MATCH("Amaranth",CropNames,0))="P",$E$17,$G$17))-MAX(0,INDEX(Crops!$H$5:$H$22,MATCH("Amaranth",CropNames,0))-MIN(IF(INDEX(Crops!$G$5:$G$22,MATCH("Amaranth",CropNames,0))="N",MIN(150,$C$18+IF($C$13,IFERROR(VLOOKUP($C$14,Fertilizers!$B$6:$E$9,2,FALSE()),0),0)),IF(INDEX(Crops!$G$5:$G$22,MATCH("Amaranth",CropNames,0))="P",MIN(150,$E$18+IF($C$13,IFERROR(VLOOKUP($C$14,Fertilizers!$B$6:$E$9,3,FALSE()),0),0)),MIN(150,$G$18+IF($C$13,IFERROR(VLOOKUP($C$14,Fertilizers!$B$6:$E$9,4,FALSE()),0),0)))),0.25*$C43*TicksPerDay)))))/2&gt;35,0.9,IF(((IF(INDEX(Crops!$G$5:$G$22,MATCH("Amaranth",CropNames,0))="N",$C$17,IF(INDEX(Crops!$G$5:$G$22,MATCH("Amaranth",CropNames,0))="P",$E$17,$G$17)))+(MAX(0,IF(INDEX(Crops!$G$5:$G$22,MATCH("Amaranth",CropNames,0))="N",$C$17,IF(INDEX(Crops!$G$5:$G$22,MATCH("Amaranth",CropNames,0))="P",$E$17,$G$17))-MAX(0,INDEX(Crops!$H$5:$H$22,MATCH("Amaranth",CropNames,0))-MIN(IF(INDEX(Crops!$G$5:$G$22,MATCH("Amaranth",CropNames,0))="N",MIN(150,$C$18+IF($C$13,IFERROR(VLOOKUP($C$14,Fertilizers!$B$6:$E$9,2,FALSE()),0),0)),IF(INDEX(Crops!$G$5:$G$22,MATCH("Amaranth",CropNames,0))="P",MIN(150,$E$18+IF($C$13,IFERROR(VLOOKUP($C$14,Fertilizers!$B$6:$E$9,3,FALSE()),0),0)),MIN(150,$G$18+IF($C$13,IFERROR(VLOOKUP($C$14,Fertilizers!$B$6:$E$9,4,FALSE()),0),0)))),0.25*$C43*TicksPerDay)))))/2&gt;20,0.6,IF(((IF(INDEX(Crops!$G$5:$G$22,MATCH("Amaranth",CropNames,0))="N",$C$17,IF(INDEX(Crops!$G$5:$G$22,MATCH("Amaranth",CropNames,0))="P",$E$17,$G$17)))+(MAX(0,IF(INDEX(Crops!$G$5:$G$22,MATCH("Amaranth",CropNames,0))="N",$C$17,IF(INDEX(Crops!$G$5:$G$22,MATCH("Amaranth",CropNames,0))="P",$E$17,$G$17))-MAX(0,INDEX(Crops!$H$5:$H$22,MATCH("Amaranth",CropNames,0))-MIN(IF(INDEX(Crops!$G$5:$G$22,MATCH("Amaranth",CropNames,0))="N",MIN(150,$C$18+IF($C$13,IFERROR(VLOOKUP($C$14,Fertilizers!$B$6:$E$9,2,FALSE()),0),0)),IF(INDEX(Crops!$G$5:$G$22,MATCH("Amaranth",CropNames,0))="P",MIN(150,$E$18+IF($C$13,IFERROR(VLOOKUP($C$14,Fertilizers!$B$6:$E$9,3,FALSE()),0),0)),MIN(150,$G$18+IF($C$13,IFERROR(VLOOKUP($C$14,Fertilizers!$B$6:$E$9,4,FALSE()),0),0)))),0.25*$C43*TicksPerDay)))))/2&gt;5,0.3,0.1)))))*IF($I43="✓ yes",1,IF($I43="barely",0.6,0))*IF($H43="✓ ok",1,IFERROR(IF(ISBLANK(INDEX(Crops!$O$5:$O$22,MATCH("Amaranth",CropNames,0))),DefaultStuntMul,INDEX(Crops!$O$5:$O$22,MATCH("Amaranth",CropNames,0))),DefaultStuntMul))*IF($J43="poor",0.7,IF($J43="great",1.2,1))*IF(LEFT($K43,3)="yes",1.3,IF($K43="maybe",1.1,1)),1)</f>
        <v>12.2</v>
      </c>
      <c r="M43" s="48" t="str">
        <f aca="false">IF($I43="✗ no","won't finish",IF($H43="✓ ok",IF($L43&gt;=RANK_TOP3,"top pick",IF($L43&gt;=RANK_TOP10,"good","ok")),"risk: "&amp;$H43))</f>
        <v>risk: COLD</v>
      </c>
      <c r="N43" s="45"/>
    </row>
    <row r="44" customFormat="false" ht="21.75" hidden="false" customHeight="true" outlineLevel="0" collapsed="false">
      <c r="A44" s="38"/>
      <c r="B44" s="39" t="s">
        <v>115</v>
      </c>
      <c r="C44" s="40" t="n">
        <f aca="false">INDEX(Crops!$F$5:$F$22,MATCH("Cassava",CropNames,0))</f>
        <v>39.6</v>
      </c>
      <c r="D44" s="41" t="str">
        <f aca="false">$C$9&amp;"→"&amp;IF(ROUND($C$9+$C44,0)&gt;DaysPerYear,ROUND($C$9+$C44-DaysPerYear,0),ROUND($C$9+$C44,0))</f>
        <v>50→90</v>
      </c>
      <c r="E44" s="42" t="n">
        <f aca="false">MAX(0,ROUND(SeasonEndDay-($C$9+$C44),0))</f>
        <v>0</v>
      </c>
      <c r="F44" s="40" t="n">
        <f aca="false">IF($C$11,IF(ROUND($C$9+$C44,0)&lt;=DaysPerYear,MIN(INDEX(Climate!$H$5:$H$112,$C$9):INDEX(Climate!$H$5:$H$112,ROUND($C$9+$C44,0))),MIN(MIN(INDEX(Climate!$H$5:$H$112,$C$9):INDEX(Climate!$H$5:$H$112,ClimateRows)),MIN(INDEX(Climate!$H$5:$H$112,1):INDEX(Climate!$H$5:$H$112,ROUND($C$9+$C44-DaysPerYear,0))))),IF(ROUND($C$9+$C44,0)&lt;=DaysPerYear,MIN(INDEX(Climate!$E$5:$E$112,$C$9):INDEX(Climate!$E$5:$E$112,ROUND($C$9+$C44,0))),MIN(MIN(INDEX(Climate!$E$5:$E$112,$C$9):INDEX(Climate!$E$5:$E$112,ClimateRows)),MIN(INDEX(Climate!$E$5:$E$112,1):INDEX(Climate!$E$5:$E$112,ROUND($C$9+$C44-DaysPerYear,0))))))</f>
        <v>-16.52</v>
      </c>
      <c r="G44" s="40" t="n">
        <f aca="false">IF($C$11,IF(ROUND($C$9+$C44,0)&lt;=DaysPerYear,MAX(INDEX(Climate!$I$5:$I$112,$C$9):INDEX(Climate!$I$5:$I$112,ROUND($C$9+$C44,0))),MAX(MAX(INDEX(Climate!$I$5:$I$112,$C$9):INDEX(Climate!$I$5:$I$112,ClimateRows)),MAX(INDEX(Climate!$I$5:$I$112,1):INDEX(Climate!$I$5:$I$112,ROUND($C$9+$C44-DaysPerYear,0))))),IF(ROUND($C$9+$C44,0)&lt;=DaysPerYear,MAX(INDEX(Climate!$F$5:$F$112,$C$9):INDEX(Climate!$F$5:$F$112,ROUND($C$9+$C44,0))),MAX(MAX(INDEX(Climate!$F$5:$F$112,$C$9):INDEX(Climate!$F$5:$F$112,ClimateRows)),MAX(INDEX(Climate!$F$5:$F$112,1):INDEX(Climate!$F$5:$F$112,ROUND($C$9+$C44-DaysPerYear,0))))))</f>
        <v>24.64</v>
      </c>
      <c r="H44" s="43" t="str">
        <f aca="false">IF(AND($F44&lt;INDEX(Crops!$K$5:$K$22,MATCH("Cassava",CropNames,0)),$G44&gt;INDEX(Crops!$M$5:$M$22,MATCH("Cassava",CropNames,0))),"C+H",IF($F44&lt;INDEX(Crops!$K$5:$K$22,MATCH("Cassava",CropNames,0)),"COLD",IF($G44&gt;INDEX(Crops!$M$5:$M$22,MATCH("Cassava",CropNames,0)),"HEAT","✓ ok")))</f>
        <v>COLD</v>
      </c>
      <c r="I44" s="43" t="str">
        <f aca="false">IF($C$9+$C44&gt;SeasonEndDay,"✗ no",IF(SeasonEndDay-($C$9+$C44)&lt;3,"barely","✓ yes"))</f>
        <v>✗ no</v>
      </c>
      <c r="J44" s="41" t="str">
        <f aca="false">IF(MAX($C$17,$E$17,$G$17)-MIN($C$17,$E$17,$G$17)&lt;=5,"ok",IF(INDEX(Crops!$G$5:$G$22,MATCH("Cassava",CropNames,0))="N",IF($C$17=MIN($C$17,$E$17,$G$17),"poor",IF($C$17=MAX($C$17,$E$17,$G$17),"great","ok")),IF(INDEX(Crops!$G$5:$G$22,MATCH("Cassava",CropNames,0))="P",IF($E$17=MIN($C$17,$E$17,$G$17),"poor",IF($E$17=MAX($C$17,$E$17,$G$17),"great","ok")),IF($G$17=MIN($C$17,$E$17,$G$17),"poor",IF($G$17=MAX($C$17,$E$17,$G$17),"great","ok")))))</f>
        <v>ok</v>
      </c>
      <c r="K44" s="41" t="str">
        <f aca="false">IF($E44&gt;=15,"yes (carrot)",IF($E44&gt;=8,"yes (turnip)",IF($E44&gt;=4,"maybe","no")))</f>
        <v>no</v>
      </c>
      <c r="L44" s="44" t="n">
        <f aca="false">ROUND(16/$C44*100*IF(((IF(INDEX(Crops!$G$5:$G$22,MATCH("Cassava",CropNames,0))="N",$C$17,IF(INDEX(Crops!$G$5:$G$22,MATCH("Cassava",CropNames,0))="P",$E$17,$G$17)))+(MAX(0,IF(INDEX(Crops!$G$5:$G$22,MATCH("Cassava",CropNames,0))="N",$C$17,IF(INDEX(Crops!$G$5:$G$22,MATCH("Cassava",CropNames,0))="P",$E$17,$G$17))-MAX(0,INDEX(Crops!$H$5:$H$22,MATCH("Cassava",CropNames,0))-MIN(IF(INDEX(Crops!$G$5:$G$22,MATCH("Cassava",CropNames,0))="N",MIN(150,$C$18+IF($C$13,IFERROR(VLOOKUP($C$14,Fertilizers!$B$6:$E$9,2,FALSE()),0),0)),IF(INDEX(Crops!$G$5:$G$22,MATCH("Cassava",CropNames,0))="P",MIN(150,$E$18+IF($C$13,IFERROR(VLOOKUP($C$14,Fertilizers!$B$6:$E$9,3,FALSE()),0),0)),MIN(150,$G$18+IF($C$13,IFERROR(VLOOKUP($C$14,Fertilizers!$B$6:$E$9,4,FALSE()),0),0)))),0.25*$C44*TicksPerDay)))))/2&gt;75,1.1,IF(((IF(INDEX(Crops!$G$5:$G$22,MATCH("Cassava",CropNames,0))="N",$C$17,IF(INDEX(Crops!$G$5:$G$22,MATCH("Cassava",CropNames,0))="P",$E$17,$G$17)))+(MAX(0,IF(INDEX(Crops!$G$5:$G$22,MATCH("Cassava",CropNames,0))="N",$C$17,IF(INDEX(Crops!$G$5:$G$22,MATCH("Cassava",CropNames,0))="P",$E$17,$G$17))-MAX(0,INDEX(Crops!$H$5:$H$22,MATCH("Cassava",CropNames,0))-MIN(IF(INDEX(Crops!$G$5:$G$22,MATCH("Cassava",CropNames,0))="N",MIN(150,$C$18+IF($C$13,IFERROR(VLOOKUP($C$14,Fertilizers!$B$6:$E$9,2,FALSE()),0),0)),IF(INDEX(Crops!$G$5:$G$22,MATCH("Cassava",CropNames,0))="P",MIN(150,$E$18+IF($C$13,IFERROR(VLOOKUP($C$14,Fertilizers!$B$6:$E$9,3,FALSE()),0),0)),MIN(150,$G$18+IF($C$13,IFERROR(VLOOKUP($C$14,Fertilizers!$B$6:$E$9,4,FALSE()),0),0)))),0.25*$C44*TicksPerDay)))))/2&gt;50,1,IF(((IF(INDEX(Crops!$G$5:$G$22,MATCH("Cassava",CropNames,0))="N",$C$17,IF(INDEX(Crops!$G$5:$G$22,MATCH("Cassava",CropNames,0))="P",$E$17,$G$17)))+(MAX(0,IF(INDEX(Crops!$G$5:$G$22,MATCH("Cassava",CropNames,0))="N",$C$17,IF(INDEX(Crops!$G$5:$G$22,MATCH("Cassava",CropNames,0))="P",$E$17,$G$17))-MAX(0,INDEX(Crops!$H$5:$H$22,MATCH("Cassava",CropNames,0))-MIN(IF(INDEX(Crops!$G$5:$G$22,MATCH("Cassava",CropNames,0))="N",MIN(150,$C$18+IF($C$13,IFERROR(VLOOKUP($C$14,Fertilizers!$B$6:$E$9,2,FALSE()),0),0)),IF(INDEX(Crops!$G$5:$G$22,MATCH("Cassava",CropNames,0))="P",MIN(150,$E$18+IF($C$13,IFERROR(VLOOKUP($C$14,Fertilizers!$B$6:$E$9,3,FALSE()),0),0)),MIN(150,$G$18+IF($C$13,IFERROR(VLOOKUP($C$14,Fertilizers!$B$6:$E$9,4,FALSE()),0),0)))),0.25*$C44*TicksPerDay)))))/2&gt;35,0.9,IF(((IF(INDEX(Crops!$G$5:$G$22,MATCH("Cassava",CropNames,0))="N",$C$17,IF(INDEX(Crops!$G$5:$G$22,MATCH("Cassava",CropNames,0))="P",$E$17,$G$17)))+(MAX(0,IF(INDEX(Crops!$G$5:$G$22,MATCH("Cassava",CropNames,0))="N",$C$17,IF(INDEX(Crops!$G$5:$G$22,MATCH("Cassava",CropNames,0))="P",$E$17,$G$17))-MAX(0,INDEX(Crops!$H$5:$H$22,MATCH("Cassava",CropNames,0))-MIN(IF(INDEX(Crops!$G$5:$G$22,MATCH("Cassava",CropNames,0))="N",MIN(150,$C$18+IF($C$13,IFERROR(VLOOKUP($C$14,Fertilizers!$B$6:$E$9,2,FALSE()),0),0)),IF(INDEX(Crops!$G$5:$G$22,MATCH("Cassava",CropNames,0))="P",MIN(150,$E$18+IF($C$13,IFERROR(VLOOKUP($C$14,Fertilizers!$B$6:$E$9,3,FALSE()),0),0)),MIN(150,$G$18+IF($C$13,IFERROR(VLOOKUP($C$14,Fertilizers!$B$6:$E$9,4,FALSE()),0),0)))),0.25*$C44*TicksPerDay)))))/2&gt;20,0.6,IF(((IF(INDEX(Crops!$G$5:$G$22,MATCH("Cassava",CropNames,0))="N",$C$17,IF(INDEX(Crops!$G$5:$G$22,MATCH("Cassava",CropNames,0))="P",$E$17,$G$17)))+(MAX(0,IF(INDEX(Crops!$G$5:$G$22,MATCH("Cassava",CropNames,0))="N",$C$17,IF(INDEX(Crops!$G$5:$G$22,MATCH("Cassava",CropNames,0))="P",$E$17,$G$17))-MAX(0,INDEX(Crops!$H$5:$H$22,MATCH("Cassava",CropNames,0))-MIN(IF(INDEX(Crops!$G$5:$G$22,MATCH("Cassava",CropNames,0))="N",MIN(150,$C$18+IF($C$13,IFERROR(VLOOKUP($C$14,Fertilizers!$B$6:$E$9,2,FALSE()),0),0)),IF(INDEX(Crops!$G$5:$G$22,MATCH("Cassava",CropNames,0))="P",MIN(150,$E$18+IF($C$13,IFERROR(VLOOKUP($C$14,Fertilizers!$B$6:$E$9,3,FALSE()),0),0)),MIN(150,$G$18+IF($C$13,IFERROR(VLOOKUP($C$14,Fertilizers!$B$6:$E$9,4,FALSE()),0),0)))),0.25*$C44*TicksPerDay)))))/2&gt;5,0.3,0.1)))))*IF($I44="✓ yes",1,IF($I44="barely",0.6,0))*IF($H44="✓ ok",1,IFERROR(IF(ISBLANK(INDEX(Crops!$O$5:$O$22,MATCH("Cassava",CropNames,0))),DefaultStuntMul,INDEX(Crops!$O$5:$O$22,MATCH("Cassava",CropNames,0))),DefaultStuntMul))*IF($J44="poor",0.7,IF($J44="great",1.2,1))*IF(LEFT($K44,3)="yes",1.3,IF($K44="maybe",1.1,1)),1)</f>
        <v>0</v>
      </c>
      <c r="M44" s="41" t="str">
        <f aca="false">IF($I44="✗ no","won't finish",IF($H44="✓ ok",IF($L44&gt;=RANK_TOP3,"top pick",IF($L44&gt;=RANK_TOP10,"good","ok")),"risk: "&amp;$H44))</f>
        <v>won't finish</v>
      </c>
      <c r="N44" s="38"/>
    </row>
    <row r="45" customFormat="false" ht="21.75" hidden="false" customHeight="true" outlineLevel="0" collapsed="false">
      <c r="A45" s="45"/>
      <c r="B45" s="46" t="s">
        <v>116</v>
      </c>
      <c r="C45" s="47" t="n">
        <f aca="false">INDEX(Crops!$F$5:$F$22,MATCH("Peanut",CropNames,0))</f>
        <v>19.8</v>
      </c>
      <c r="D45" s="48" t="str">
        <f aca="false">$C$9&amp;"→"&amp;IF(ROUND($C$9+$C45,0)&gt;DaysPerYear,ROUND($C$9+$C45-DaysPerYear,0),ROUND($C$9+$C45,0))</f>
        <v>50→70</v>
      </c>
      <c r="E45" s="49" t="n">
        <f aca="false">MAX(0,ROUND(SeasonEndDay-($C$9+$C45),0))</f>
        <v>14</v>
      </c>
      <c r="F45" s="47" t="n">
        <f aca="false">IF($C$11,IF(ROUND($C$9+$C45,0)&lt;=DaysPerYear,MIN(INDEX(Climate!$H$5:$H$112,$C$9):INDEX(Climate!$H$5:$H$112,ROUND($C$9+$C45,0))),MIN(MIN(INDEX(Climate!$H$5:$H$112,$C$9):INDEX(Climate!$H$5:$H$112,ClimateRows)),MIN(INDEX(Climate!$H$5:$H$112,1):INDEX(Climate!$H$5:$H$112,ROUND($C$9+$C45-DaysPerYear,0))))),IF(ROUND($C$9+$C45,0)&lt;=DaysPerYear,MIN(INDEX(Climate!$E$5:$E$112,$C$9):INDEX(Climate!$E$5:$E$112,ROUND($C$9+$C45,0))),MIN(MIN(INDEX(Climate!$E$5:$E$112,$C$9):INDEX(Climate!$E$5:$E$112,ClimateRows)),MIN(INDEX(Climate!$E$5:$E$112,1):INDEX(Climate!$E$5:$E$112,ROUND($C$9+$C45-DaysPerYear,0))))))</f>
        <v>3.62</v>
      </c>
      <c r="G45" s="47" t="n">
        <f aca="false">IF($C$11,IF(ROUND($C$9+$C45,0)&lt;=DaysPerYear,MAX(INDEX(Climate!$I$5:$I$112,$C$9):INDEX(Climate!$I$5:$I$112,ROUND($C$9+$C45,0))),MAX(MAX(INDEX(Climate!$I$5:$I$112,$C$9):INDEX(Climate!$I$5:$I$112,ClimateRows)),MAX(INDEX(Climate!$I$5:$I$112,1):INDEX(Climate!$I$5:$I$112,ROUND($C$9+$C45-DaysPerYear,0))))),IF(ROUND($C$9+$C45,0)&lt;=DaysPerYear,MAX(INDEX(Climate!$F$5:$F$112,$C$9):INDEX(Climate!$F$5:$F$112,ROUND($C$9+$C45,0))),MAX(MAX(INDEX(Climate!$F$5:$F$112,$C$9):INDEX(Climate!$F$5:$F$112,ClimateRows)),MAX(INDEX(Climate!$F$5:$F$112,1):INDEX(Climate!$F$5:$F$112,ROUND($C$9+$C45-DaysPerYear,0))))))</f>
        <v>24.64</v>
      </c>
      <c r="H45" s="50" t="str">
        <f aca="false">IF(AND($F45&lt;INDEX(Crops!$K$5:$K$22,MATCH("Peanut",CropNames,0)),$G45&gt;INDEX(Crops!$M$5:$M$22,MATCH("Peanut",CropNames,0))),"C+H",IF($F45&lt;INDEX(Crops!$K$5:$K$22,MATCH("Peanut",CropNames,0)),"COLD",IF($G45&gt;INDEX(Crops!$M$5:$M$22,MATCH("Peanut",CropNames,0)),"HEAT","✓ ok")))</f>
        <v>COLD</v>
      </c>
      <c r="I45" s="50" t="str">
        <f aca="false">IF($C$9+$C45&gt;SeasonEndDay,"✗ no",IF(SeasonEndDay-($C$9+$C45)&lt;3,"barely","✓ yes"))</f>
        <v>✓ yes</v>
      </c>
      <c r="J45" s="48" t="str">
        <f aca="false">IF(MAX($C$17,$E$17,$G$17)-MIN($C$17,$E$17,$G$17)&lt;=5,"ok",IF(INDEX(Crops!$G$5:$G$22,MATCH("Peanut",CropNames,0))="N",IF($C$17=MIN($C$17,$E$17,$G$17),"poor",IF($C$17=MAX($C$17,$E$17,$G$17),"great","ok")),IF(INDEX(Crops!$G$5:$G$22,MATCH("Peanut",CropNames,0))="P",IF($E$17=MIN($C$17,$E$17,$G$17),"poor",IF($E$17=MAX($C$17,$E$17,$G$17),"great","ok")),IF($G$17=MIN($C$17,$E$17,$G$17),"poor",IF($G$17=MAX($C$17,$E$17,$G$17),"great","ok")))))</f>
        <v>ok</v>
      </c>
      <c r="K45" s="48" t="str">
        <f aca="false">IF($E45&gt;=15,"yes (carrot)",IF($E45&gt;=8,"yes (turnip)",IF($E45&gt;=4,"maybe","no")))</f>
        <v>yes (turnip)</v>
      </c>
      <c r="L45" s="51" t="n">
        <f aca="false">ROUND(10/$C45*100*IF(((IF(INDEX(Crops!$G$5:$G$22,MATCH("Peanut",CropNames,0))="N",$C$17,IF(INDEX(Crops!$G$5:$G$22,MATCH("Peanut",CropNames,0))="P",$E$17,$G$17)))+(MAX(0,IF(INDEX(Crops!$G$5:$G$22,MATCH("Peanut",CropNames,0))="N",$C$17,IF(INDEX(Crops!$G$5:$G$22,MATCH("Peanut",CropNames,0))="P",$E$17,$G$17))-MAX(0,INDEX(Crops!$H$5:$H$22,MATCH("Peanut",CropNames,0))-MIN(IF(INDEX(Crops!$G$5:$G$22,MATCH("Peanut",CropNames,0))="N",MIN(150,$C$18+IF($C$13,IFERROR(VLOOKUP($C$14,Fertilizers!$B$6:$E$9,2,FALSE()),0),0)),IF(INDEX(Crops!$G$5:$G$22,MATCH("Peanut",CropNames,0))="P",MIN(150,$E$18+IF($C$13,IFERROR(VLOOKUP($C$14,Fertilizers!$B$6:$E$9,3,FALSE()),0),0)),MIN(150,$G$18+IF($C$13,IFERROR(VLOOKUP($C$14,Fertilizers!$B$6:$E$9,4,FALSE()),0),0)))),0.25*$C45*TicksPerDay)))))/2&gt;75,1.1,IF(((IF(INDEX(Crops!$G$5:$G$22,MATCH("Peanut",CropNames,0))="N",$C$17,IF(INDEX(Crops!$G$5:$G$22,MATCH("Peanut",CropNames,0))="P",$E$17,$G$17)))+(MAX(0,IF(INDEX(Crops!$G$5:$G$22,MATCH("Peanut",CropNames,0))="N",$C$17,IF(INDEX(Crops!$G$5:$G$22,MATCH("Peanut",CropNames,0))="P",$E$17,$G$17))-MAX(0,INDEX(Crops!$H$5:$H$22,MATCH("Peanut",CropNames,0))-MIN(IF(INDEX(Crops!$G$5:$G$22,MATCH("Peanut",CropNames,0))="N",MIN(150,$C$18+IF($C$13,IFERROR(VLOOKUP($C$14,Fertilizers!$B$6:$E$9,2,FALSE()),0),0)),IF(INDEX(Crops!$G$5:$G$22,MATCH("Peanut",CropNames,0))="P",MIN(150,$E$18+IF($C$13,IFERROR(VLOOKUP($C$14,Fertilizers!$B$6:$E$9,3,FALSE()),0),0)),MIN(150,$G$18+IF($C$13,IFERROR(VLOOKUP($C$14,Fertilizers!$B$6:$E$9,4,FALSE()),0),0)))),0.25*$C45*TicksPerDay)))))/2&gt;50,1,IF(((IF(INDEX(Crops!$G$5:$G$22,MATCH("Peanut",CropNames,0))="N",$C$17,IF(INDEX(Crops!$G$5:$G$22,MATCH("Peanut",CropNames,0))="P",$E$17,$G$17)))+(MAX(0,IF(INDEX(Crops!$G$5:$G$22,MATCH("Peanut",CropNames,0))="N",$C$17,IF(INDEX(Crops!$G$5:$G$22,MATCH("Peanut",CropNames,0))="P",$E$17,$G$17))-MAX(0,INDEX(Crops!$H$5:$H$22,MATCH("Peanut",CropNames,0))-MIN(IF(INDEX(Crops!$G$5:$G$22,MATCH("Peanut",CropNames,0))="N",MIN(150,$C$18+IF($C$13,IFERROR(VLOOKUP($C$14,Fertilizers!$B$6:$E$9,2,FALSE()),0),0)),IF(INDEX(Crops!$G$5:$G$22,MATCH("Peanut",CropNames,0))="P",MIN(150,$E$18+IF($C$13,IFERROR(VLOOKUP($C$14,Fertilizers!$B$6:$E$9,3,FALSE()),0),0)),MIN(150,$G$18+IF($C$13,IFERROR(VLOOKUP($C$14,Fertilizers!$B$6:$E$9,4,FALSE()),0),0)))),0.25*$C45*TicksPerDay)))))/2&gt;35,0.9,IF(((IF(INDEX(Crops!$G$5:$G$22,MATCH("Peanut",CropNames,0))="N",$C$17,IF(INDEX(Crops!$G$5:$G$22,MATCH("Peanut",CropNames,0))="P",$E$17,$G$17)))+(MAX(0,IF(INDEX(Crops!$G$5:$G$22,MATCH("Peanut",CropNames,0))="N",$C$17,IF(INDEX(Crops!$G$5:$G$22,MATCH("Peanut",CropNames,0))="P",$E$17,$G$17))-MAX(0,INDEX(Crops!$H$5:$H$22,MATCH("Peanut",CropNames,0))-MIN(IF(INDEX(Crops!$G$5:$G$22,MATCH("Peanut",CropNames,0))="N",MIN(150,$C$18+IF($C$13,IFERROR(VLOOKUP($C$14,Fertilizers!$B$6:$E$9,2,FALSE()),0),0)),IF(INDEX(Crops!$G$5:$G$22,MATCH("Peanut",CropNames,0))="P",MIN(150,$E$18+IF($C$13,IFERROR(VLOOKUP($C$14,Fertilizers!$B$6:$E$9,3,FALSE()),0),0)),MIN(150,$G$18+IF($C$13,IFERROR(VLOOKUP($C$14,Fertilizers!$B$6:$E$9,4,FALSE()),0),0)))),0.25*$C45*TicksPerDay)))))/2&gt;20,0.6,IF(((IF(INDEX(Crops!$G$5:$G$22,MATCH("Peanut",CropNames,0))="N",$C$17,IF(INDEX(Crops!$G$5:$G$22,MATCH("Peanut",CropNames,0))="P",$E$17,$G$17)))+(MAX(0,IF(INDEX(Crops!$G$5:$G$22,MATCH("Peanut",CropNames,0))="N",$C$17,IF(INDEX(Crops!$G$5:$G$22,MATCH("Peanut",CropNames,0))="P",$E$17,$G$17))-MAX(0,INDEX(Crops!$H$5:$H$22,MATCH("Peanut",CropNames,0))-MIN(IF(INDEX(Crops!$G$5:$G$22,MATCH("Peanut",CropNames,0))="N",MIN(150,$C$18+IF($C$13,IFERROR(VLOOKUP($C$14,Fertilizers!$B$6:$E$9,2,FALSE()),0),0)),IF(INDEX(Crops!$G$5:$G$22,MATCH("Peanut",CropNames,0))="P",MIN(150,$E$18+IF($C$13,IFERROR(VLOOKUP($C$14,Fertilizers!$B$6:$E$9,3,FALSE()),0),0)),MIN(150,$G$18+IF($C$13,IFERROR(VLOOKUP($C$14,Fertilizers!$B$6:$E$9,4,FALSE()),0),0)))),0.25*$C45*TicksPerDay)))))/2&gt;5,0.3,0.1)))))*IF($I45="✓ yes",1,IF($I45="barely",0.6,0))*IF($H45="✓ ok",1,IFERROR(IF(ISBLANK(INDEX(Crops!$O$5:$O$22,MATCH("Peanut",CropNames,0))),DefaultStuntMul,INDEX(Crops!$O$5:$O$22,MATCH("Peanut",CropNames,0))),DefaultStuntMul))*IF($J45="poor",0.7,IF($J45="great",1.2,1))*IF(LEFT($K45,3)="yes",1.3,IF($K45="maybe",1.1,1)),1)</f>
        <v>29.5</v>
      </c>
      <c r="M45" s="48" t="str">
        <f aca="false">IF($I45="✗ no","won't finish",IF($H45="✓ ok",IF($L45&gt;=RANK_TOP3,"top pick",IF($L45&gt;=RANK_TOP10,"good","ok")),"risk: "&amp;$H45))</f>
        <v>risk: COLD</v>
      </c>
      <c r="N45" s="45"/>
    </row>
    <row r="46" customFormat="false" ht="21.75" hidden="false" customHeight="true" outlineLevel="0" collapsed="false">
      <c r="A46" s="38"/>
      <c r="B46" s="39" t="s">
        <v>117</v>
      </c>
      <c r="C46" s="40" t="n">
        <f aca="false">INDEX(Crops!$F$5:$F$22,MATCH("Rice",CropNames,0))</f>
        <v>18</v>
      </c>
      <c r="D46" s="41" t="str">
        <f aca="false">$C$9&amp;"→"&amp;IF(ROUND($C$9+$C46,0)&gt;DaysPerYear,ROUND($C$9+$C46-DaysPerYear,0),ROUND($C$9+$C46,0))</f>
        <v>50→68</v>
      </c>
      <c r="E46" s="42" t="n">
        <f aca="false">MAX(0,ROUND(SeasonEndDay-($C$9+$C46),0))</f>
        <v>16</v>
      </c>
      <c r="F46" s="40" t="n">
        <f aca="false">IF($C$11,IF(ROUND($C$9+$C46,0)&lt;=DaysPerYear,MIN(INDEX(Climate!$H$5:$H$112,$C$9):INDEX(Climate!$H$5:$H$112,ROUND($C$9+$C46,0))),MIN(MIN(INDEX(Climate!$H$5:$H$112,$C$9):INDEX(Climate!$H$5:$H$112,ClimateRows)),MIN(INDEX(Climate!$H$5:$H$112,1):INDEX(Climate!$H$5:$H$112,ROUND($C$9+$C46-DaysPerYear,0))))),IF(ROUND($C$9+$C46,0)&lt;=DaysPerYear,MIN(INDEX(Climate!$E$5:$E$112,$C$9):INDEX(Climate!$E$5:$E$112,ROUND($C$9+$C46,0))),MIN(MIN(INDEX(Climate!$E$5:$E$112,$C$9):INDEX(Climate!$E$5:$E$112,ClimateRows)),MIN(INDEX(Climate!$E$5:$E$112,1):INDEX(Climate!$E$5:$E$112,ROUND($C$9+$C46-DaysPerYear,0))))))</f>
        <v>3.79</v>
      </c>
      <c r="G46" s="40" t="n">
        <f aca="false">IF($C$11,IF(ROUND($C$9+$C46,0)&lt;=DaysPerYear,MAX(INDEX(Climate!$I$5:$I$112,$C$9):INDEX(Climate!$I$5:$I$112,ROUND($C$9+$C46,0))),MAX(MAX(INDEX(Climate!$I$5:$I$112,$C$9):INDEX(Climate!$I$5:$I$112,ClimateRows)),MAX(INDEX(Climate!$I$5:$I$112,1):INDEX(Climate!$I$5:$I$112,ROUND($C$9+$C46-DaysPerYear,0))))),IF(ROUND($C$9+$C46,0)&lt;=DaysPerYear,MAX(INDEX(Climate!$F$5:$F$112,$C$9):INDEX(Climate!$F$5:$F$112,ROUND($C$9+$C46,0))),MAX(MAX(INDEX(Climate!$F$5:$F$112,$C$9):INDEX(Climate!$F$5:$F$112,ClimateRows)),MAX(INDEX(Climate!$F$5:$F$112,1):INDEX(Climate!$F$5:$F$112,ROUND($C$9+$C46-DaysPerYear,0))))))</f>
        <v>24.64</v>
      </c>
      <c r="H46" s="43" t="str">
        <f aca="false">IF(AND($F46&lt;INDEX(Crops!$K$5:$K$22,MATCH("Rice",CropNames,0)),$G46&gt;INDEX(Crops!$M$5:$M$22,MATCH("Rice",CropNames,0))),"C+H",IF($F46&lt;INDEX(Crops!$K$5:$K$22,MATCH("Rice",CropNames,0)),"COLD",IF($G46&gt;INDEX(Crops!$M$5:$M$22,MATCH("Rice",CropNames,0)),"HEAT","✓ ok")))</f>
        <v>COLD</v>
      </c>
      <c r="I46" s="43" t="str">
        <f aca="false">IF($C$9+$C46&gt;SeasonEndDay,"✗ no",IF(SeasonEndDay-($C$9+$C46)&lt;3,"barely","✓ yes"))</f>
        <v>✓ yes</v>
      </c>
      <c r="J46" s="41" t="str">
        <f aca="false">IF(MAX($C$17,$E$17,$G$17)-MIN($C$17,$E$17,$G$17)&lt;=5,"ok",IF(INDEX(Crops!$G$5:$G$22,MATCH("Rice",CropNames,0))="N",IF($C$17=MIN($C$17,$E$17,$G$17),"poor",IF($C$17=MAX($C$17,$E$17,$G$17),"great","ok")),IF(INDEX(Crops!$G$5:$G$22,MATCH("Rice",CropNames,0))="P",IF($E$17=MIN($C$17,$E$17,$G$17),"poor",IF($E$17=MAX($C$17,$E$17,$G$17),"great","ok")),IF($G$17=MIN($C$17,$E$17,$G$17),"poor",IF($G$17=MAX($C$17,$E$17,$G$17),"great","ok")))))</f>
        <v>ok</v>
      </c>
      <c r="K46" s="41" t="str">
        <f aca="false">IF($E46&gt;=15,"yes (carrot)",IF($E46&gt;=8,"yes (turnip)",IF($E46&gt;=4,"maybe","no")))</f>
        <v>yes (carrot)</v>
      </c>
      <c r="L46" s="44" t="n">
        <f aca="false">ROUND(6.5/$C46*100*IF(((IF(INDEX(Crops!$G$5:$G$22,MATCH("Rice",CropNames,0))="N",$C$17,IF(INDEX(Crops!$G$5:$G$22,MATCH("Rice",CropNames,0))="P",$E$17,$G$17)))+(MAX(0,IF(INDEX(Crops!$G$5:$G$22,MATCH("Rice",CropNames,0))="N",$C$17,IF(INDEX(Crops!$G$5:$G$22,MATCH("Rice",CropNames,0))="P",$E$17,$G$17))-MAX(0,INDEX(Crops!$H$5:$H$22,MATCH("Rice",CropNames,0))-MIN(IF(INDEX(Crops!$G$5:$G$22,MATCH("Rice",CropNames,0))="N",MIN(150,$C$18+IF($C$13,IFERROR(VLOOKUP($C$14,Fertilizers!$B$6:$E$9,2,FALSE()),0),0)),IF(INDEX(Crops!$G$5:$G$22,MATCH("Rice",CropNames,0))="P",MIN(150,$E$18+IF($C$13,IFERROR(VLOOKUP($C$14,Fertilizers!$B$6:$E$9,3,FALSE()),0),0)),MIN(150,$G$18+IF($C$13,IFERROR(VLOOKUP($C$14,Fertilizers!$B$6:$E$9,4,FALSE()),0),0)))),0.25*$C46*TicksPerDay)))))/2&gt;75,1.1,IF(((IF(INDEX(Crops!$G$5:$G$22,MATCH("Rice",CropNames,0))="N",$C$17,IF(INDEX(Crops!$G$5:$G$22,MATCH("Rice",CropNames,0))="P",$E$17,$G$17)))+(MAX(0,IF(INDEX(Crops!$G$5:$G$22,MATCH("Rice",CropNames,0))="N",$C$17,IF(INDEX(Crops!$G$5:$G$22,MATCH("Rice",CropNames,0))="P",$E$17,$G$17))-MAX(0,INDEX(Crops!$H$5:$H$22,MATCH("Rice",CropNames,0))-MIN(IF(INDEX(Crops!$G$5:$G$22,MATCH("Rice",CropNames,0))="N",MIN(150,$C$18+IF($C$13,IFERROR(VLOOKUP($C$14,Fertilizers!$B$6:$E$9,2,FALSE()),0),0)),IF(INDEX(Crops!$G$5:$G$22,MATCH("Rice",CropNames,0))="P",MIN(150,$E$18+IF($C$13,IFERROR(VLOOKUP($C$14,Fertilizers!$B$6:$E$9,3,FALSE()),0),0)),MIN(150,$G$18+IF($C$13,IFERROR(VLOOKUP($C$14,Fertilizers!$B$6:$E$9,4,FALSE()),0),0)))),0.25*$C46*TicksPerDay)))))/2&gt;50,1,IF(((IF(INDEX(Crops!$G$5:$G$22,MATCH("Rice",CropNames,0))="N",$C$17,IF(INDEX(Crops!$G$5:$G$22,MATCH("Rice",CropNames,0))="P",$E$17,$G$17)))+(MAX(0,IF(INDEX(Crops!$G$5:$G$22,MATCH("Rice",CropNames,0))="N",$C$17,IF(INDEX(Crops!$G$5:$G$22,MATCH("Rice",CropNames,0))="P",$E$17,$G$17))-MAX(0,INDEX(Crops!$H$5:$H$22,MATCH("Rice",CropNames,0))-MIN(IF(INDEX(Crops!$G$5:$G$22,MATCH("Rice",CropNames,0))="N",MIN(150,$C$18+IF($C$13,IFERROR(VLOOKUP($C$14,Fertilizers!$B$6:$E$9,2,FALSE()),0),0)),IF(INDEX(Crops!$G$5:$G$22,MATCH("Rice",CropNames,0))="P",MIN(150,$E$18+IF($C$13,IFERROR(VLOOKUP($C$14,Fertilizers!$B$6:$E$9,3,FALSE()),0),0)),MIN(150,$G$18+IF($C$13,IFERROR(VLOOKUP($C$14,Fertilizers!$B$6:$E$9,4,FALSE()),0),0)))),0.25*$C46*TicksPerDay)))))/2&gt;35,0.9,IF(((IF(INDEX(Crops!$G$5:$G$22,MATCH("Rice",CropNames,0))="N",$C$17,IF(INDEX(Crops!$G$5:$G$22,MATCH("Rice",CropNames,0))="P",$E$17,$G$17)))+(MAX(0,IF(INDEX(Crops!$G$5:$G$22,MATCH("Rice",CropNames,0))="N",$C$17,IF(INDEX(Crops!$G$5:$G$22,MATCH("Rice",CropNames,0))="P",$E$17,$G$17))-MAX(0,INDEX(Crops!$H$5:$H$22,MATCH("Rice",CropNames,0))-MIN(IF(INDEX(Crops!$G$5:$G$22,MATCH("Rice",CropNames,0))="N",MIN(150,$C$18+IF($C$13,IFERROR(VLOOKUP($C$14,Fertilizers!$B$6:$E$9,2,FALSE()),0),0)),IF(INDEX(Crops!$G$5:$G$22,MATCH("Rice",CropNames,0))="P",MIN(150,$E$18+IF($C$13,IFERROR(VLOOKUP($C$14,Fertilizers!$B$6:$E$9,3,FALSE()),0),0)),MIN(150,$G$18+IF($C$13,IFERROR(VLOOKUP($C$14,Fertilizers!$B$6:$E$9,4,FALSE()),0),0)))),0.25*$C46*TicksPerDay)))))/2&gt;20,0.6,IF(((IF(INDEX(Crops!$G$5:$G$22,MATCH("Rice",CropNames,0))="N",$C$17,IF(INDEX(Crops!$G$5:$G$22,MATCH("Rice",CropNames,0))="P",$E$17,$G$17)))+(MAX(0,IF(INDEX(Crops!$G$5:$G$22,MATCH("Rice",CropNames,0))="N",$C$17,IF(INDEX(Crops!$G$5:$G$22,MATCH("Rice",CropNames,0))="P",$E$17,$G$17))-MAX(0,INDEX(Crops!$H$5:$H$22,MATCH("Rice",CropNames,0))-MIN(IF(INDEX(Crops!$G$5:$G$22,MATCH("Rice",CropNames,0))="N",MIN(150,$C$18+IF($C$13,IFERROR(VLOOKUP($C$14,Fertilizers!$B$6:$E$9,2,FALSE()),0),0)),IF(INDEX(Crops!$G$5:$G$22,MATCH("Rice",CropNames,0))="P",MIN(150,$E$18+IF($C$13,IFERROR(VLOOKUP($C$14,Fertilizers!$B$6:$E$9,3,FALSE()),0),0)),MIN(150,$G$18+IF($C$13,IFERROR(VLOOKUP($C$14,Fertilizers!$B$6:$E$9,4,FALSE()),0),0)))),0.25*$C46*TicksPerDay)))))/2&gt;5,0.3,0.1)))))*IF($I46="✓ yes",1,IF($I46="barely",0.6,0))*IF($H46="✓ ok",1,IFERROR(IF(ISBLANK(INDEX(Crops!$O$5:$O$22,MATCH("Rice",CropNames,0))),DefaultStuntMul,INDEX(Crops!$O$5:$O$22,MATCH("Rice",CropNames,0))),DefaultStuntMul))*IF($J46="poor",0.7,IF($J46="great",1.2,1))*IF(LEFT($K46,3)="yes",1.3,IF($K46="maybe",1.1,1)),1)</f>
        <v>21.1</v>
      </c>
      <c r="M46" s="41" t="str">
        <f aca="false">IF($I46="✗ no","won't finish",IF($H46="✓ ok",IF($L46&gt;=RANK_TOP3,"top pick",IF($L46&gt;=RANK_TOP10,"good","ok")),"risk: "&amp;$H46))</f>
        <v>risk: COLD</v>
      </c>
      <c r="N46" s="38"/>
    </row>
    <row r="47" customFormat="false" ht="21.75" hidden="false" customHeight="true" outlineLevel="0" collapsed="false">
      <c r="A47" s="45"/>
      <c r="B47" s="46" t="s">
        <v>118</v>
      </c>
      <c r="C47" s="47" t="n">
        <f aca="false">INDEX(Crops!$F$5:$F$22,MATCH("Pineapple",CropNames,0))</f>
        <v>50.4</v>
      </c>
      <c r="D47" s="48" t="str">
        <f aca="false">$C$9&amp;"→"&amp;IF(ROUND($C$9+$C47,0)&gt;DaysPerYear,ROUND($C$9+$C47-DaysPerYear,0),ROUND($C$9+$C47,0))</f>
        <v>50→100</v>
      </c>
      <c r="E47" s="49" t="n">
        <f aca="false">MAX(0,ROUND(SeasonEndDay-($C$9+$C47),0))</f>
        <v>0</v>
      </c>
      <c r="F47" s="47" t="n">
        <f aca="false">IF($C$11,IF(ROUND($C$9+$C47,0)&lt;=DaysPerYear,MIN(INDEX(Climate!$H$5:$H$112,$C$9):INDEX(Climate!$H$5:$H$112,ROUND($C$9+$C47,0))),MIN(MIN(INDEX(Climate!$H$5:$H$112,$C$9):INDEX(Climate!$H$5:$H$112,ClimateRows)),MIN(INDEX(Climate!$H$5:$H$112,1):INDEX(Climate!$H$5:$H$112,ROUND($C$9+$C47-DaysPerYear,0))))),IF(ROUND($C$9+$C47,0)&lt;=DaysPerYear,MIN(INDEX(Climate!$E$5:$E$112,$C$9):INDEX(Climate!$E$5:$E$112,ROUND($C$9+$C47,0))),MIN(MIN(INDEX(Climate!$E$5:$E$112,$C$9):INDEX(Climate!$E$5:$E$112,ClimateRows)),MIN(INDEX(Climate!$E$5:$E$112,1):INDEX(Climate!$E$5:$E$112,ROUND($C$9+$C47-DaysPerYear,0))))))</f>
        <v>-26.55</v>
      </c>
      <c r="G47" s="47" t="n">
        <f aca="false">IF($C$11,IF(ROUND($C$9+$C47,0)&lt;=DaysPerYear,MAX(INDEX(Climate!$I$5:$I$112,$C$9):INDEX(Climate!$I$5:$I$112,ROUND($C$9+$C47,0))),MAX(MAX(INDEX(Climate!$I$5:$I$112,$C$9):INDEX(Climate!$I$5:$I$112,ClimateRows)),MAX(INDEX(Climate!$I$5:$I$112,1):INDEX(Climate!$I$5:$I$112,ROUND($C$9+$C47-DaysPerYear,0))))),IF(ROUND($C$9+$C47,0)&lt;=DaysPerYear,MAX(INDEX(Climate!$F$5:$F$112,$C$9):INDEX(Climate!$F$5:$F$112,ROUND($C$9+$C47,0))),MAX(MAX(INDEX(Climate!$F$5:$F$112,$C$9):INDEX(Climate!$F$5:$F$112,ClimateRows)),MAX(INDEX(Climate!$F$5:$F$112,1):INDEX(Climate!$F$5:$F$112,ROUND($C$9+$C47-DaysPerYear,0))))))</f>
        <v>24.64</v>
      </c>
      <c r="H47" s="50" t="str">
        <f aca="false">IF(AND($F47&lt;INDEX(Crops!$K$5:$K$22,MATCH("Pineapple",CropNames,0)),$G47&gt;INDEX(Crops!$M$5:$M$22,MATCH("Pineapple",CropNames,0))),"C+H",IF($F47&lt;INDEX(Crops!$K$5:$K$22,MATCH("Pineapple",CropNames,0)),"COLD",IF($G47&gt;INDEX(Crops!$M$5:$M$22,MATCH("Pineapple",CropNames,0)),"HEAT","✓ ok")))</f>
        <v>COLD</v>
      </c>
      <c r="I47" s="50" t="str">
        <f aca="false">IF($C$9+$C47&gt;SeasonEndDay,"✗ no",IF(SeasonEndDay-($C$9+$C47)&lt;3,"barely","✓ yes"))</f>
        <v>✗ no</v>
      </c>
      <c r="J47" s="48" t="str">
        <f aca="false">IF(MAX($C$17,$E$17,$G$17)-MIN($C$17,$E$17,$G$17)&lt;=5,"ok",IF(INDEX(Crops!$G$5:$G$22,MATCH("Pineapple",CropNames,0))="N",IF($C$17=MIN($C$17,$E$17,$G$17),"poor",IF($C$17=MAX($C$17,$E$17,$G$17),"great","ok")),IF(INDEX(Crops!$G$5:$G$22,MATCH("Pineapple",CropNames,0))="P",IF($E$17=MIN($C$17,$E$17,$G$17),"poor",IF($E$17=MAX($C$17,$E$17,$G$17),"great","ok")),IF($G$17=MIN($C$17,$E$17,$G$17),"poor",IF($G$17=MAX($C$17,$E$17,$G$17),"great","ok")))))</f>
        <v>ok</v>
      </c>
      <c r="K47" s="48" t="str">
        <f aca="false">IF($E47&gt;=15,"yes (carrot)",IF($E47&gt;=8,"yes (turnip)",IF($E47&gt;=4,"maybe","no")))</f>
        <v>no</v>
      </c>
      <c r="L47" s="51" t="n">
        <f aca="false">ROUND(1/$C47*100*IF(((IF(INDEX(Crops!$G$5:$G$22,MATCH("Pineapple",CropNames,0))="N",$C$17,IF(INDEX(Crops!$G$5:$G$22,MATCH("Pineapple",CropNames,0))="P",$E$17,$G$17)))+(MAX(0,IF(INDEX(Crops!$G$5:$G$22,MATCH("Pineapple",CropNames,0))="N",$C$17,IF(INDEX(Crops!$G$5:$G$22,MATCH("Pineapple",CropNames,0))="P",$E$17,$G$17))-MAX(0,INDEX(Crops!$H$5:$H$22,MATCH("Pineapple",CropNames,0))-MIN(IF(INDEX(Crops!$G$5:$G$22,MATCH("Pineapple",CropNames,0))="N",MIN(150,$C$18+IF($C$13,IFERROR(VLOOKUP($C$14,Fertilizers!$B$6:$E$9,2,FALSE()),0),0)),IF(INDEX(Crops!$G$5:$G$22,MATCH("Pineapple",CropNames,0))="P",MIN(150,$E$18+IF($C$13,IFERROR(VLOOKUP($C$14,Fertilizers!$B$6:$E$9,3,FALSE()),0),0)),MIN(150,$G$18+IF($C$13,IFERROR(VLOOKUP($C$14,Fertilizers!$B$6:$E$9,4,FALSE()),0),0)))),0.25*$C47*TicksPerDay)))))/2&gt;75,1.1,IF(((IF(INDEX(Crops!$G$5:$G$22,MATCH("Pineapple",CropNames,0))="N",$C$17,IF(INDEX(Crops!$G$5:$G$22,MATCH("Pineapple",CropNames,0))="P",$E$17,$G$17)))+(MAX(0,IF(INDEX(Crops!$G$5:$G$22,MATCH("Pineapple",CropNames,0))="N",$C$17,IF(INDEX(Crops!$G$5:$G$22,MATCH("Pineapple",CropNames,0))="P",$E$17,$G$17))-MAX(0,INDEX(Crops!$H$5:$H$22,MATCH("Pineapple",CropNames,0))-MIN(IF(INDEX(Crops!$G$5:$G$22,MATCH("Pineapple",CropNames,0))="N",MIN(150,$C$18+IF($C$13,IFERROR(VLOOKUP($C$14,Fertilizers!$B$6:$E$9,2,FALSE()),0),0)),IF(INDEX(Crops!$G$5:$G$22,MATCH("Pineapple",CropNames,0))="P",MIN(150,$E$18+IF($C$13,IFERROR(VLOOKUP($C$14,Fertilizers!$B$6:$E$9,3,FALSE()),0),0)),MIN(150,$G$18+IF($C$13,IFERROR(VLOOKUP($C$14,Fertilizers!$B$6:$E$9,4,FALSE()),0),0)))),0.25*$C47*TicksPerDay)))))/2&gt;50,1,IF(((IF(INDEX(Crops!$G$5:$G$22,MATCH("Pineapple",CropNames,0))="N",$C$17,IF(INDEX(Crops!$G$5:$G$22,MATCH("Pineapple",CropNames,0))="P",$E$17,$G$17)))+(MAX(0,IF(INDEX(Crops!$G$5:$G$22,MATCH("Pineapple",CropNames,0))="N",$C$17,IF(INDEX(Crops!$G$5:$G$22,MATCH("Pineapple",CropNames,0))="P",$E$17,$G$17))-MAX(0,INDEX(Crops!$H$5:$H$22,MATCH("Pineapple",CropNames,0))-MIN(IF(INDEX(Crops!$G$5:$G$22,MATCH("Pineapple",CropNames,0))="N",MIN(150,$C$18+IF($C$13,IFERROR(VLOOKUP($C$14,Fertilizers!$B$6:$E$9,2,FALSE()),0),0)),IF(INDEX(Crops!$G$5:$G$22,MATCH("Pineapple",CropNames,0))="P",MIN(150,$E$18+IF($C$13,IFERROR(VLOOKUP($C$14,Fertilizers!$B$6:$E$9,3,FALSE()),0),0)),MIN(150,$G$18+IF($C$13,IFERROR(VLOOKUP($C$14,Fertilizers!$B$6:$E$9,4,FALSE()),0),0)))),0.25*$C47*TicksPerDay)))))/2&gt;35,0.9,IF(((IF(INDEX(Crops!$G$5:$G$22,MATCH("Pineapple",CropNames,0))="N",$C$17,IF(INDEX(Crops!$G$5:$G$22,MATCH("Pineapple",CropNames,0))="P",$E$17,$G$17)))+(MAX(0,IF(INDEX(Crops!$G$5:$G$22,MATCH("Pineapple",CropNames,0))="N",$C$17,IF(INDEX(Crops!$G$5:$G$22,MATCH("Pineapple",CropNames,0))="P",$E$17,$G$17))-MAX(0,INDEX(Crops!$H$5:$H$22,MATCH("Pineapple",CropNames,0))-MIN(IF(INDEX(Crops!$G$5:$G$22,MATCH("Pineapple",CropNames,0))="N",MIN(150,$C$18+IF($C$13,IFERROR(VLOOKUP($C$14,Fertilizers!$B$6:$E$9,2,FALSE()),0),0)),IF(INDEX(Crops!$G$5:$G$22,MATCH("Pineapple",CropNames,0))="P",MIN(150,$E$18+IF($C$13,IFERROR(VLOOKUP($C$14,Fertilizers!$B$6:$E$9,3,FALSE()),0),0)),MIN(150,$G$18+IF($C$13,IFERROR(VLOOKUP($C$14,Fertilizers!$B$6:$E$9,4,FALSE()),0),0)))),0.25*$C47*TicksPerDay)))))/2&gt;20,0.6,IF(((IF(INDEX(Crops!$G$5:$G$22,MATCH("Pineapple",CropNames,0))="N",$C$17,IF(INDEX(Crops!$G$5:$G$22,MATCH("Pineapple",CropNames,0))="P",$E$17,$G$17)))+(MAX(0,IF(INDEX(Crops!$G$5:$G$22,MATCH("Pineapple",CropNames,0))="N",$C$17,IF(INDEX(Crops!$G$5:$G$22,MATCH("Pineapple",CropNames,0))="P",$E$17,$G$17))-MAX(0,INDEX(Crops!$H$5:$H$22,MATCH("Pineapple",CropNames,0))-MIN(IF(INDEX(Crops!$G$5:$G$22,MATCH("Pineapple",CropNames,0))="N",MIN(150,$C$18+IF($C$13,IFERROR(VLOOKUP($C$14,Fertilizers!$B$6:$E$9,2,FALSE()),0),0)),IF(INDEX(Crops!$G$5:$G$22,MATCH("Pineapple",CropNames,0))="P",MIN(150,$E$18+IF($C$13,IFERROR(VLOOKUP($C$14,Fertilizers!$B$6:$E$9,3,FALSE()),0),0)),MIN(150,$G$18+IF($C$13,IFERROR(VLOOKUP($C$14,Fertilizers!$B$6:$E$9,4,FALSE()),0),0)))),0.25*$C47*TicksPerDay)))))/2&gt;5,0.3,0.1)))))*IF($I47="✓ yes",1,IF($I47="barely",0.6,0))*IF($H47="✓ ok",1,IFERROR(IF(ISBLANK(INDEX(Crops!$O$5:$O$22,MATCH("Pineapple",CropNames,0))),DefaultStuntMul,INDEX(Crops!$O$5:$O$22,MATCH("Pineapple",CropNames,0))),DefaultStuntMul))*IF($J47="poor",0.7,IF($J47="great",1.2,1))*IF(LEFT($K47,3)="yes",1.3,IF($K47="maybe",1.1,1)),1)</f>
        <v>0</v>
      </c>
      <c r="M47" s="48" t="str">
        <f aca="false">IF($I47="✗ no","won't finish",IF($H47="✓ ok",IF($L47&gt;=RANK_TOP3,"top pick",IF($L47&gt;=RANK_TOP10,"good","ok")),"risk: "&amp;$H47))</f>
        <v>won't finish</v>
      </c>
      <c r="N47" s="45"/>
    </row>
    <row r="48" customFormat="false" ht="15" hidden="false" customHeight="true" outlineLevel="0" collapsed="false">
      <c r="K48" s="52" t="s">
        <v>119</v>
      </c>
      <c r="L48" s="53" t="n">
        <f aca="false">LARGE($L$30:$L$47,3)</f>
        <v>101.3</v>
      </c>
    </row>
    <row r="49" customFormat="false" ht="15" hidden="false" customHeight="true" outlineLevel="0" collapsed="false">
      <c r="K49" s="52" t="s">
        <v>120</v>
      </c>
      <c r="L49" s="53" t="n">
        <f aca="false">LARGE($L$30:$L$47,10)</f>
        <v>40.2</v>
      </c>
    </row>
    <row r="51" customFormat="false" ht="24" hidden="false" customHeight="true" outlineLevel="0" collapsed="false">
      <c r="A51" s="21"/>
      <c r="B51" s="5" t="s">
        <v>121</v>
      </c>
      <c r="C51" s="5"/>
      <c r="D51" s="5"/>
      <c r="E51" s="5"/>
      <c r="F51" s="5"/>
      <c r="G51" s="5"/>
      <c r="H51" s="5"/>
      <c r="I51" s="5"/>
      <c r="J51" s="5"/>
      <c r="K51" s="5"/>
      <c r="L51" s="5"/>
      <c r="M51" s="5"/>
      <c r="N51" s="5"/>
    </row>
    <row r="53" customFormat="false" ht="24" hidden="false" customHeight="true" outlineLevel="0" collapsed="false">
      <c r="B53" s="37" t="s">
        <v>122</v>
      </c>
      <c r="C53" s="37" t="s">
        <v>123</v>
      </c>
      <c r="D53" s="37" t="s">
        <v>124</v>
      </c>
      <c r="E53" s="37" t="s">
        <v>125</v>
      </c>
      <c r="F53" s="37" t="s">
        <v>126</v>
      </c>
      <c r="G53" s="37" t="s">
        <v>127</v>
      </c>
      <c r="H53" s="37" t="s">
        <v>128</v>
      </c>
      <c r="I53" s="37" t="s">
        <v>129</v>
      </c>
      <c r="J53" s="37" t="s">
        <v>100</v>
      </c>
    </row>
    <row r="54" customFormat="false" ht="24" hidden="false" customHeight="true" outlineLevel="0" collapsed="false">
      <c r="A54" s="38"/>
      <c r="B54" s="43" t="s">
        <v>130</v>
      </c>
      <c r="C54" s="43" t="str">
        <f aca="false">INDEX($B$30:$B$47,MATCH(LARGE($L$30:$L$47,1),$L$30:$L$47,0))</f>
        <v>Carrot</v>
      </c>
      <c r="D54" s="41" t="n">
        <f aca="false">$C$9</f>
        <v>50</v>
      </c>
      <c r="E54" s="42" t="n">
        <f aca="false">ROUND($C$9+INDEX($C$30:$C$47,MATCH(LARGE($L$30:$L$47,1),$L$30:$L$47,0)),0)</f>
        <v>59</v>
      </c>
      <c r="F54" s="41" t="str">
        <f aca="false">IF(INDEX($E$30:$E$47,MATCH(LARGE($L$30:$L$47,1),$L$30:$L$47,0))&lt;7,"(none)",IF(INDEX(Crops!$G$5:$G$22,MATCH(INDEX($B$30:$B$47,MATCH(LARGE($L$30:$L$47,1),$L$30:$L$47,0)),CropNames,0))="N",IF(INDEX($E$30:$E$47,MATCH(LARGE($L$30:$L$47,1),$L$30:$L$47,0))&gt;=10,"Carrot",IF(INDEX($E$30:$E$47,MATCH(LARGE($L$30:$L$47,1),$L$30:$L$47,0))&gt;=14,"Onion","Soybean")),IF(INDEX(Crops!$G$5:$G$22,MATCH(INDEX($B$30:$B$47,MATCH(LARGE($L$30:$L$47,1),$L$30:$L$47,0)),CropNames,0))="K",IF(INDEX($E$30:$E$47,MATCH(LARGE($L$30:$L$47,1),$L$30:$L$47,0))&gt;=8,"Turnip",IF(INDEX($E$30:$E$47,MATCH(LARGE($L$30:$L$47,1),$L$30:$L$47,0))&gt;=14,"Onion","(none)")),IF(INDEX($E$30:$E$47,MATCH(LARGE($L$30:$L$47,1),$L$30:$L$47,0))&gt;=8,"Turnip",IF(INDEX($E$30:$E$47,MATCH(LARGE($L$30:$L$47,1),$L$30:$L$47,0))&gt;=10,"Carrot","(none)")))))</f>
        <v>Turnip</v>
      </c>
      <c r="G54" s="42" t="n">
        <f aca="false">IF(F54="(none)",E54,ROUND(E54+IFERROR(INDEX(Crops!$F$5:$F$22,MATCH(F54,CropNames,0)),0),0))</f>
        <v>66</v>
      </c>
      <c r="H54" s="42" t="n">
        <f aca="false">MAX(0,ROUND(SeasonEndDay-G54,0))</f>
        <v>18</v>
      </c>
      <c r="I54" s="41" t="str">
        <f aca="false">"~"&amp;ROUND(INDEX($L$30:$L$47,MATCH(LARGE($L$30:$L$47,1),$L$30:$L$47,0)),1)&amp;" score"</f>
        <v>~138.8 score</v>
      </c>
      <c r="J54" s="54" t="str">
        <f aca="false">IF(F54="(none)","single-crop only. No follow-up fits",IF(H54&gt;=5,"comfortable margin","tight schedule"))</f>
        <v>comfortable margin</v>
      </c>
      <c r="K54" s="54"/>
      <c r="L54" s="54"/>
      <c r="M54" s="54"/>
      <c r="N54" s="54"/>
    </row>
    <row r="55" customFormat="false" ht="24" hidden="false" customHeight="true" outlineLevel="0" collapsed="false">
      <c r="A55" s="45"/>
      <c r="B55" s="50" t="s">
        <v>131</v>
      </c>
      <c r="C55" s="50" t="str">
        <f aca="false">INDEX($B$30:$B$47,MATCH(LARGE($L$30:$L$47,2),$L$30:$L$47,0))</f>
        <v>Turnip</v>
      </c>
      <c r="D55" s="48" t="n">
        <f aca="false">$C$9</f>
        <v>50</v>
      </c>
      <c r="E55" s="49" t="n">
        <f aca="false">ROUND($C$9+INDEX($C$30:$C$47,MATCH(LARGE($L$30:$L$47,2),$L$30:$L$47,0)),0)</f>
        <v>57</v>
      </c>
      <c r="F55" s="48" t="str">
        <f aca="false">IF(INDEX($E$30:$E$47,MATCH(LARGE($L$30:$L$47,2),$L$30:$L$47,0))&lt;7,"(none)",IF(INDEX(Crops!$G$5:$G$22,MATCH(INDEX($B$30:$B$47,MATCH(LARGE($L$30:$L$47,2),$L$30:$L$47,0)),CropNames,0))="N",IF(INDEX($E$30:$E$47,MATCH(LARGE($L$30:$L$47,2),$L$30:$L$47,0))&gt;=10,"Carrot",IF(INDEX($E$30:$E$47,MATCH(LARGE($L$30:$L$47,2),$L$30:$L$47,0))&gt;=14,"Onion","Soybean")),IF(INDEX(Crops!$G$5:$G$22,MATCH(INDEX($B$30:$B$47,MATCH(LARGE($L$30:$L$47,2),$L$30:$L$47,0)),CropNames,0))="K",IF(INDEX($E$30:$E$47,MATCH(LARGE($L$30:$L$47,2),$L$30:$L$47,0))&gt;=8,"Turnip",IF(INDEX($E$30:$E$47,MATCH(LARGE($L$30:$L$47,2),$L$30:$L$47,0))&gt;=14,"Onion","(none)")),IF(INDEX($E$30:$E$47,MATCH(LARGE($L$30:$L$47,2),$L$30:$L$47,0))&gt;=8,"Turnip",IF(INDEX($E$30:$E$47,MATCH(LARGE($L$30:$L$47,2),$L$30:$L$47,0))&gt;=10,"Carrot","(none)")))))</f>
        <v>Carrot</v>
      </c>
      <c r="G55" s="49" t="n">
        <f aca="false">IF(F55="(none)",E55,ROUND(E55+IFERROR(INDEX(Crops!$F$5:$F$22,MATCH(F55,CropNames,0)),0),0))</f>
        <v>66</v>
      </c>
      <c r="H55" s="49" t="n">
        <f aca="false">MAX(0,ROUND(SeasonEndDay-G55,0))</f>
        <v>18</v>
      </c>
      <c r="I55" s="48" t="str">
        <f aca="false">"~"&amp;ROUND(INDEX($L$30:$L$47,MATCH(LARGE($L$30:$L$47,2),$L$30:$L$47,0)),1)&amp;" score"</f>
        <v>~126.4 score</v>
      </c>
      <c r="J55" s="55" t="str">
        <f aca="false">IF(F55="(none)","single-crop only. No follow-up fits",IF(H55&gt;=5,"comfortable margin","tight schedule"))</f>
        <v>comfortable margin</v>
      </c>
      <c r="K55" s="55"/>
      <c r="L55" s="55"/>
      <c r="M55" s="55"/>
      <c r="N55" s="55"/>
    </row>
    <row r="56" customFormat="false" ht="24" hidden="false" customHeight="true" outlineLevel="0" collapsed="false">
      <c r="A56" s="38"/>
      <c r="B56" s="43" t="s">
        <v>132</v>
      </c>
      <c r="C56" s="43" t="str">
        <f aca="false">INDEX($B$30:$B$47,MATCH(LARGE($L$30:$L$47,3),$L$30:$L$47,0))</f>
        <v>Onion</v>
      </c>
      <c r="D56" s="41" t="n">
        <f aca="false">$C$9</f>
        <v>50</v>
      </c>
      <c r="E56" s="42" t="n">
        <f aca="false">ROUND($C$9+INDEX($C$30:$C$47,MATCH(LARGE($L$30:$L$47,3),$L$30:$L$47,0)),0)</f>
        <v>64</v>
      </c>
      <c r="F56" s="41" t="str">
        <f aca="false">IF(INDEX($E$30:$E$47,MATCH(LARGE($L$30:$L$47,3),$L$30:$L$47,0))&lt;7,"(none)",IF(INDEX(Crops!$G$5:$G$22,MATCH(INDEX($B$30:$B$47,MATCH(LARGE($L$30:$L$47,3),$L$30:$L$47,0)),CropNames,0))="N",IF(INDEX($E$30:$E$47,MATCH(LARGE($L$30:$L$47,3),$L$30:$L$47,0))&gt;=10,"Carrot",IF(INDEX($E$30:$E$47,MATCH(LARGE($L$30:$L$47,3),$L$30:$L$47,0))&gt;=14,"Onion","Soybean")),IF(INDEX(Crops!$G$5:$G$22,MATCH(INDEX($B$30:$B$47,MATCH(LARGE($L$30:$L$47,3),$L$30:$L$47,0)),CropNames,0))="K",IF(INDEX($E$30:$E$47,MATCH(LARGE($L$30:$L$47,3),$L$30:$L$47,0))&gt;=8,"Turnip",IF(INDEX($E$30:$E$47,MATCH(LARGE($L$30:$L$47,3),$L$30:$L$47,0))&gt;=14,"Onion","(none)")),IF(INDEX($E$30:$E$47,MATCH(LARGE($L$30:$L$47,3),$L$30:$L$47,0))&gt;=8,"Turnip",IF(INDEX($E$30:$E$47,MATCH(LARGE($L$30:$L$47,3),$L$30:$L$47,0))&gt;=10,"Carrot","(none)")))))</f>
        <v>Turnip</v>
      </c>
      <c r="G56" s="42" t="n">
        <f aca="false">IF(F56="(none)",E56,ROUND(E56+IFERROR(INDEX(Crops!$F$5:$F$22,MATCH(F56,CropNames,0)),0),0))</f>
        <v>71</v>
      </c>
      <c r="H56" s="42" t="n">
        <f aca="false">MAX(0,ROUND(SeasonEndDay-G56,0))</f>
        <v>13</v>
      </c>
      <c r="I56" s="41" t="str">
        <f aca="false">"~"&amp;ROUND(INDEX($L$30:$L$47,MATCH(LARGE($L$30:$L$47,3),$L$30:$L$47,0)),1)&amp;" score"</f>
        <v>~101.3 score</v>
      </c>
      <c r="J56" s="54" t="str">
        <f aca="false">IF(F56="(none)","single-crop only. No follow-up fits",IF(H56&gt;=5,"comfortable margin","tight schedule"))</f>
        <v>comfortable margin</v>
      </c>
      <c r="K56" s="54"/>
      <c r="L56" s="54"/>
      <c r="M56" s="54"/>
      <c r="N56" s="54"/>
    </row>
    <row r="58" customFormat="false" ht="24" hidden="false" customHeight="true" outlineLevel="0" collapsed="false">
      <c r="A58" s="21"/>
      <c r="B58" s="5" t="s">
        <v>133</v>
      </c>
      <c r="C58" s="5"/>
      <c r="D58" s="5"/>
      <c r="E58" s="5"/>
      <c r="F58" s="5"/>
      <c r="G58" s="5"/>
      <c r="H58" s="5"/>
      <c r="I58" s="5"/>
      <c r="J58" s="5"/>
      <c r="K58" s="5"/>
      <c r="L58" s="5"/>
      <c r="M58" s="5"/>
      <c r="N58" s="5"/>
    </row>
    <row r="60" customFormat="false" ht="15" hidden="false" customHeight="true" outlineLevel="0" collapsed="false">
      <c r="B60" s="56" t="str">
        <f aca="false">IF(LEN(IF($C$9&gt;SeasonEndDay,CHAR(10)&amp;"⚠ Outdoor planting won't work. Season ended day "&amp;SeasonEndDay&amp;". Use greenhouse or wait until day 34.","")&amp;IF(AND($C$11=FALSE(),$C$9+15&gt;SeasonEndDay),CHAR(10)&amp;"⚠ Less than 15 days of growing season left. Even fast crops may not finish without greenhouse.","")&amp;IF(MIN($C$17,$E$17,$G$17)&lt;10,CHAR(10)&amp;"⚠ A nutrient axis is critically low (&lt;10). Strongly consider applying compost before planting.","")&amp;IF(AND($C$13=FALSE(),MIN($C$17,$E$17,$G$17)&lt;25),CHAR(10)&amp;"💡 You said you won't fertilize. At least one axis is low. Yields will be reduced. Consider Bonemeal (P), Saltpeter (NK), or Compost (NPK).","")&amp;IF($C$11,CHAR(10)&amp;"💡 Greenhouse adds +5°C. Extends growing season AND lets warm crops (Cassava, Peanut, Rice) become viable.","")&amp;IF(AND(NOT($C$11),$C$9&gt;=70,$C$9&lt;=85),CHAR(10)&amp;"💡 Late season. Only Rye/Carrot/Parsnip are reliably hardy. Hardy crops (stunt mul = 0.75) survive cold better.","")&amp;IF(AND($C$10&gt;=65,MIN($C$17,$E$17,$G$17)&gt;=50),CHAR(10)&amp;"✓ Soil is in good shape. Focus on rotation: pick a crop whose nutrient is your highest axis.","")&amp;IF($C$9&lt;34,CHAR(10)&amp;"⚠ Spring hasn't started yet (day 34 = first warm day). Outdoor planting too cold; only greenhouse with hardy crops will work.",""))=0,"",MID(IF($C$9&gt;SeasonEndDay,CHAR(10)&amp;"⚠ Outdoor planting won't work. Season ended day "&amp;SeasonEndDay&amp;". Use greenhouse or wait until day 34.","")&amp;IF(AND($C$11=FALSE(),$C$9+15&gt;SeasonEndDay),CHAR(10)&amp;"⚠ Less than 15 days of growing season left. Even fast crops may not finish without greenhouse.","")&amp;IF(MIN($C$17,$E$17,$G$17)&lt;10,CHAR(10)&amp;"⚠ A nutrient axis is critically low (&lt;10). Strongly consider applying compost before planting.","")&amp;IF(AND($C$13=FALSE(),MIN($C$17,$E$17,$G$17)&lt;25),CHAR(10)&amp;"💡 You said you won't fertilize. At least one axis is low. Yields will be reduced. Consider Bonemeal (P), Saltpeter (NK), or Compost (NPK).","")&amp;IF($C$11,CHAR(10)&amp;"💡 Greenhouse adds +5°C. Extends growing season AND lets warm crops (Cassava, Peanut, Rice) become viable.","")&amp;IF(AND(NOT($C$11),$C$9&gt;=70,$C$9&lt;=85),CHAR(10)&amp;"💡 Late season. Only Rye/Carrot/Parsnip are reliably hardy. Hardy crops (stunt mul = 0.75) survive cold better.","")&amp;IF(AND($C$10&gt;=65,MIN($C$17,$E$17,$G$17)&gt;=50),CHAR(10)&amp;"✓ Soil is in good shape. Focus on rotation: pick a crop whose nutrient is your highest axis.","")&amp;IF($C$9&lt;34,CHAR(10)&amp;"⚠ Spring hasn't started yet (day 34 = first warm day). Outdoor planting too cold; only greenhouse with hardy crops will work.",""),2,9999))</f>
        <v>✓ Soil is in good shape. Focus on rotation: pick a crop whose nutrient is your highest axis.</v>
      </c>
      <c r="C60" s="56"/>
      <c r="D60" s="56"/>
      <c r="E60" s="56"/>
      <c r="F60" s="56"/>
      <c r="G60" s="56"/>
      <c r="H60" s="56"/>
      <c r="I60" s="56"/>
      <c r="J60" s="56"/>
      <c r="K60" s="56"/>
      <c r="L60" s="56"/>
      <c r="M60" s="56"/>
      <c r="N60" s="56"/>
    </row>
    <row r="61" customFormat="false" ht="0.75" hidden="false" customHeight="true" outlineLevel="0" collapsed="false">
      <c r="B61" s="57"/>
      <c r="C61" s="57"/>
      <c r="D61" s="57"/>
      <c r="E61" s="57"/>
      <c r="F61" s="57"/>
      <c r="G61" s="57"/>
      <c r="H61" s="57"/>
      <c r="I61" s="57"/>
      <c r="J61" s="57"/>
      <c r="K61" s="57"/>
      <c r="L61" s="57"/>
      <c r="M61" s="57"/>
      <c r="N61" s="57"/>
    </row>
    <row r="62" customFormat="false" ht="0.75" hidden="false" customHeight="true" outlineLevel="0" collapsed="false">
      <c r="B62" s="57"/>
      <c r="C62" s="57"/>
      <c r="D62" s="57"/>
      <c r="E62" s="57"/>
      <c r="F62" s="57"/>
      <c r="G62" s="57"/>
      <c r="H62" s="57"/>
      <c r="I62" s="57"/>
      <c r="J62" s="57"/>
      <c r="K62" s="57"/>
      <c r="L62" s="57"/>
      <c r="M62" s="57"/>
      <c r="N62" s="57"/>
    </row>
    <row r="63" customFormat="false" ht="0.75" hidden="false" customHeight="true" outlineLevel="0" collapsed="false">
      <c r="B63" s="57"/>
      <c r="C63" s="57"/>
      <c r="D63" s="57"/>
      <c r="E63" s="57"/>
      <c r="F63" s="57"/>
      <c r="G63" s="57"/>
      <c r="H63" s="57"/>
      <c r="I63" s="57"/>
      <c r="J63" s="57"/>
      <c r="K63" s="57"/>
      <c r="L63" s="57"/>
      <c r="M63" s="57"/>
      <c r="N63" s="57"/>
    </row>
    <row r="64" customFormat="false" ht="0.75" hidden="false" customHeight="true" outlineLevel="0" collapsed="false">
      <c r="B64" s="57"/>
      <c r="C64" s="57"/>
      <c r="D64" s="57"/>
      <c r="E64" s="57"/>
      <c r="F64" s="57"/>
      <c r="G64" s="57"/>
      <c r="H64" s="57"/>
      <c r="I64" s="57"/>
      <c r="J64" s="57"/>
      <c r="K64" s="57"/>
      <c r="L64" s="57"/>
      <c r="M64" s="57"/>
      <c r="N64" s="57"/>
    </row>
    <row r="65" customFormat="false" ht="0.75" hidden="false" customHeight="true" outlineLevel="0" collapsed="false">
      <c r="B65" s="57"/>
      <c r="C65" s="57"/>
      <c r="D65" s="57"/>
      <c r="E65" s="57"/>
      <c r="F65" s="57"/>
      <c r="G65" s="57"/>
      <c r="H65" s="57"/>
      <c r="I65" s="57"/>
      <c r="J65" s="57"/>
      <c r="K65" s="57"/>
      <c r="L65" s="57"/>
      <c r="M65" s="57"/>
      <c r="N65" s="57"/>
    </row>
    <row r="66" customFormat="false" ht="0.75" hidden="false" customHeight="true" outlineLevel="0" collapsed="false">
      <c r="B66" s="57"/>
      <c r="C66" s="57"/>
      <c r="D66" s="57"/>
      <c r="E66" s="57"/>
      <c r="F66" s="57"/>
      <c r="G66" s="57"/>
      <c r="H66" s="57"/>
      <c r="I66" s="57"/>
      <c r="J66" s="57"/>
      <c r="K66" s="57"/>
      <c r="L66" s="57"/>
      <c r="M66" s="57"/>
      <c r="N66" s="57"/>
    </row>
    <row r="67" customFormat="false" ht="0.75" hidden="false" customHeight="true" outlineLevel="0" collapsed="false">
      <c r="B67" s="57"/>
      <c r="C67" s="57"/>
      <c r="D67" s="57"/>
      <c r="E67" s="57"/>
      <c r="F67" s="57"/>
      <c r="G67" s="57"/>
      <c r="H67" s="57"/>
      <c r="I67" s="57"/>
      <c r="J67" s="57"/>
      <c r="K67" s="57"/>
      <c r="L67" s="57"/>
      <c r="M67" s="57"/>
      <c r="N67" s="57"/>
    </row>
    <row r="68" customFormat="false" ht="24" hidden="false" customHeight="true" outlineLevel="0" collapsed="false">
      <c r="A68" s="21"/>
      <c r="B68" s="5" t="s">
        <v>134</v>
      </c>
      <c r="C68" s="5"/>
      <c r="D68" s="5"/>
      <c r="E68" s="5"/>
      <c r="F68" s="5"/>
      <c r="G68" s="5"/>
      <c r="H68" s="5"/>
      <c r="I68" s="5"/>
      <c r="J68" s="5"/>
      <c r="K68" s="5"/>
      <c r="L68" s="5"/>
      <c r="M68" s="5"/>
      <c r="N68" s="5"/>
    </row>
    <row r="69" customFormat="false" ht="36" hidden="false" customHeight="true" outlineLevel="0" collapsed="false">
      <c r="B69" s="57" t="str">
        <f aca="false">"Top pick "&amp;INDEX($B$30:$B$47,MATCH(LARGE($L$30:$L$47,1),$L$30:$L$47,0))&amp;" needs "&amp;INDEX(Crops!$G$5:$G$22,MATCH(INDEX($B$30:$B$47,MATCH(LARGE($L$30:$L$47,1),$L$30:$L$47,0)),CropNames,0))&amp;". Starting "&amp;INDEX(Crops!$G$5:$G$22,MATCH(INDEX($B$30:$B$47,MATCH(LARGE($L$30:$L$47,1),$L$30:$L$47,0)),CropNames,0))&amp;"="&amp;ROUND(IF(INDEX(Crops!$G$5:$G$22,MATCH(INDEX($B$30:$B$47,MATCH(LARGE($L$30:$L$47,1),$L$30:$L$47,0)),CropNames,0))="N",$C$17,IF(INDEX(Crops!$G$5:$G$22,MATCH(INDEX($B$30:$B$47,MATCH(LARGE($L$30:$L$47,1),$L$30:$L$47,0)),CropNames,0))="P",$E$17,$G$17)),0)&amp;"; over "&amp;ROUND(INDEX($C$30:$C$47,MATCH(LARGE($L$30:$L$47,1),$L$30:$L$47,0)),0)&amp;" days it drains "&amp;ROUND(INDEX(Crops!$H$5:$H$22,MATCH(INDEX($B$30:$B$47,MATCH(LARGE($L$30:$L$47,1),$L$30:$L$47,0)),CropNames,0)),0)&amp;". "&amp;IF($C$13,"Applying "&amp;$C$14&amp;" → ","")&amp;"slow-release pool offsets "&amp;ROUND(MIN(IF(INDEX(Crops!$G$5:$G$22,MATCH(INDEX($B$30:$B$47,MATCH(LARGE($L$30:$L$47,1),$L$30:$L$47,0)),CropNames,0))="N",MIN(150,$C$18+IF($C$13,IFERROR(VLOOKUP($C$14,Fertilizers!$B$6:$E$9,2,FALSE()),0),0)),IF(INDEX(Crops!$G$5:$G$22,MATCH(INDEX($B$30:$B$47,MATCH(LARGE($L$30:$L$47,1),$L$30:$L$47,0)),CropNames,0))="P",MIN(150,$E$18+IF($C$13,IFERROR(VLOOKUP($C$14,Fertilizers!$B$6:$E$9,3,FALSE()),0),0)),MIN(150,$G$18+IF($C$13,IFERROR(VLOOKUP($C$14,Fertilizers!$B$6:$E$9,4,FALSE()),0),0)))),0.25*INDEX($C$30:$C$47,MATCH(LARGE($L$30:$L$47,1),$L$30:$L$47,0))*TicksPerDay),0)&amp;". Predicted ending "&amp;INDEX(Crops!$G$5:$G$22,MATCH(INDEX($B$30:$B$47,MATCH(LARGE($L$30:$L$47,1),$L$30:$L$47,0)),CropNames,0))&amp;": "&amp;ROUND(MAX(0,IF(INDEX(Crops!$G$5:$G$22,MATCH(INDEX($B$30:$B$47,MATCH(LARGE($L$30:$L$47,1),$L$30:$L$47,0)),CropNames,0))="N",$C$17,IF(INDEX(Crops!$G$5:$G$22,MATCH(INDEX($B$30:$B$47,MATCH(LARGE($L$30:$L$47,1),$L$30:$L$47,0)),CropNames,0))="P",$E$17,$G$17))-MAX(0,INDEX(Crops!$H$5:$H$22,MATCH(INDEX($B$30:$B$47,MATCH(LARGE($L$30:$L$47,1),$L$30:$L$47,0)),CropNames,0))-MIN(IF(INDEX(Crops!$G$5:$G$22,MATCH(INDEX($B$30:$B$47,MATCH(LARGE($L$30:$L$47,1),$L$30:$L$47,0)),CropNames,0))="N",MIN(150,$C$18+IF($C$13,IFERROR(VLOOKUP($C$14,Fertilizers!$B$6:$E$9,2,FALSE()),0),0)),IF(INDEX(Crops!$G$5:$G$22,MATCH(INDEX($B$30:$B$47,MATCH(LARGE($L$30:$L$47,1),$L$30:$L$47,0)),CropNames,0))="P",MIN(150,$E$18+IF($C$13,IFERROR(VLOOKUP($C$14,Fertilizers!$B$6:$E$9,3,FALSE()),0),0)),MIN(150,$G$18+IF($C$13,IFERROR(VLOOKUP($C$14,Fertilizers!$B$6:$E$9,4,FALSE()),0),0)))),0.25*INDEX($C$30:$C$47,MATCH(LARGE($L$30:$L$47,1),$L$30:$L$47,0))*TicksPerDay))),0)&amp;" "&amp;IF(MAX(0,IF(INDEX(Crops!$G$5:$G$22,MATCH(INDEX($B$30:$B$47,MATCH(LARGE($L$30:$L$47,1),$L$30:$L$47,0)),CropNames,0))="N",$C$17,IF(INDEX(Crops!$G$5:$G$22,MATCH(INDEX($B$30:$B$47,MATCH(LARGE($L$30:$L$47,1),$L$30:$L$47,0)),CropNames,0))="P",$E$17,$G$17))-MAX(0,INDEX(Crops!$H$5:$H$22,MATCH(INDEX($B$30:$B$47,MATCH(LARGE($L$30:$L$47,1),$L$30:$L$47,0)),CropNames,0))-MIN(IF(INDEX(Crops!$G$5:$G$22,MATCH(INDEX($B$30:$B$47,MATCH(LARGE($L$30:$L$47,1),$L$30:$L$47,0)),CropNames,0))="N",MIN(150,$C$18+IF($C$13,IFERROR(VLOOKUP($C$14,Fertilizers!$B$6:$E$9,2,FALSE()),0),0)),IF(INDEX(Crops!$G$5:$G$22,MATCH(INDEX($B$30:$B$47,MATCH(LARGE($L$30:$L$47,1),$L$30:$L$47,0)),CropNames,0))="P",MIN(150,$E$18+IF($C$13,IFERROR(VLOOKUP($C$14,Fertilizers!$B$6:$E$9,3,FALSE()),0),0)),MIN(150,$G$18+IF($C$13,IFERROR(VLOOKUP($C$14,Fertilizers!$B$6:$E$9,4,FALSE()),0),0)))),0.25*INDEX($C$30:$C$47,MATCH(LARGE($L$30:$L$47,1),$L$30:$L$47,0))*TicksPerDay)))&gt;50,"(growth stays fast)",IF(MAX(0,IF(INDEX(Crops!$G$5:$G$22,MATCH(INDEX($B$30:$B$47,MATCH(LARGE($L$30:$L$47,1),$L$30:$L$47,0)),CropNames,0))="N",$C$17,IF(INDEX(Crops!$G$5:$G$22,MATCH(INDEX($B$30:$B$47,MATCH(LARGE($L$30:$L$47,1),$L$30:$L$47,0)),CropNames,0))="P",$E$17,$G$17))-MAX(0,INDEX(Crops!$H$5:$H$22,MATCH(INDEX($B$30:$B$47,MATCH(LARGE($L$30:$L$47,1),$L$30:$L$47,0)),CropNames,0))-MIN(IF(INDEX(Crops!$G$5:$G$22,MATCH(INDEX($B$30:$B$47,MATCH(LARGE($L$30:$L$47,1),$L$30:$L$47,0)),CropNames,0))="N",MIN(150,$C$18+IF($C$13,IFERROR(VLOOKUP($C$14,Fertilizers!$B$6:$E$9,2,FALSE()),0),0)),IF(INDEX(Crops!$G$5:$G$22,MATCH(INDEX($B$30:$B$47,MATCH(LARGE($L$30:$L$47,1),$L$30:$L$47,0)),CropNames,0))="P",MIN(150,$E$18+IF($C$13,IFERROR(VLOOKUP($C$14,Fertilizers!$B$6:$E$9,3,FALSE()),0),0)),MIN(150,$G$18+IF($C$13,IFERROR(VLOOKUP($C$14,Fertilizers!$B$6:$E$9,4,FALSE()),0),0)))),0.25*INDEX($C$30:$C$47,MATCH(LARGE($L$30:$L$47,1),$L$30:$L$47,0))*TicksPerDay)))&gt;35,"(growth slows mid-late stage)",IF(MAX(0,IF(INDEX(Crops!$G$5:$G$22,MATCH(INDEX($B$30:$B$47,MATCH(LARGE($L$30:$L$47,1),$L$30:$L$47,0)),CropNames,0))="N",$C$17,IF(INDEX(Crops!$G$5:$G$22,MATCH(INDEX($B$30:$B$47,MATCH(LARGE($L$30:$L$47,1),$L$30:$L$47,0)),CropNames,0))="P",$E$17,$G$17))-MAX(0,INDEX(Crops!$H$5:$H$22,MATCH(INDEX($B$30:$B$47,MATCH(LARGE($L$30:$L$47,1),$L$30:$L$47,0)),CropNames,0))-MIN(IF(INDEX(Crops!$G$5:$G$22,MATCH(INDEX($B$30:$B$47,MATCH(LARGE($L$30:$L$47,1),$L$30:$L$47,0)),CropNames,0))="N",MIN(150,$C$18+IF($C$13,IFERROR(VLOOKUP($C$14,Fertilizers!$B$6:$E$9,2,FALSE()),0),0)),IF(INDEX(Crops!$G$5:$G$22,MATCH(INDEX($B$30:$B$47,MATCH(LARGE($L$30:$L$47,1),$L$30:$L$47,0)),CropNames,0))="P",MIN(150,$E$18+IF($C$13,IFERROR(VLOOKUP($C$14,Fertilizers!$B$6:$E$9,3,FALSE()),0),0)),MIN(150,$G$18+IF($C$13,IFERROR(VLOOKUP($C$14,Fertilizers!$B$6:$E$9,4,FALSE()),0),0)))),0.25*INDEX($C$30:$C$47,MATCH(LARGE($L$30:$L$47,1),$L$30:$L$47,0))*TicksPerDay)))&gt;20,"(growth slows significantly)","(growth nearly halts. fertilize first!)")))</f>
        <v>Top pick Carrot needs K. Starting K=65; over 9 days it drains 34. Applying None → slow-release pool offsets 0. Predicted ending K: 31 (growth slows significantly)</v>
      </c>
      <c r="C69" s="57"/>
      <c r="D69" s="57"/>
      <c r="E69" s="57"/>
      <c r="F69" s="57"/>
      <c r="G69" s="57"/>
      <c r="H69" s="57"/>
      <c r="I69" s="57"/>
      <c r="J69" s="57"/>
      <c r="K69" s="57"/>
      <c r="L69" s="57"/>
      <c r="M69" s="57"/>
      <c r="N69" s="57"/>
    </row>
    <row r="70" customFormat="false" ht="24" hidden="false" customHeight="true" outlineLevel="0" collapsed="false">
      <c r="A70" s="21"/>
      <c r="B70" s="5" t="s">
        <v>135</v>
      </c>
      <c r="C70" s="5"/>
      <c r="D70" s="5"/>
      <c r="E70" s="5"/>
      <c r="F70" s="5"/>
      <c r="G70" s="5"/>
      <c r="H70" s="5"/>
      <c r="I70" s="5"/>
      <c r="J70" s="5"/>
      <c r="K70" s="5"/>
      <c r="L70" s="5"/>
      <c r="M70" s="5"/>
      <c r="N70" s="5"/>
    </row>
    <row r="72" customFormat="false" ht="18" hidden="false" customHeight="true" outlineLevel="0" collapsed="false">
      <c r="B72" s="30" t="s">
        <v>136</v>
      </c>
      <c r="C72" s="30"/>
      <c r="D72" s="30"/>
      <c r="E72" s="30"/>
      <c r="F72" s="30"/>
      <c r="G72" s="30"/>
      <c r="H72" s="30"/>
      <c r="I72" s="30"/>
      <c r="J72" s="30"/>
      <c r="K72" s="30"/>
      <c r="L72" s="30"/>
      <c r="M72" s="30"/>
      <c r="N72" s="30"/>
    </row>
    <row r="73" customFormat="false" ht="18" hidden="false" customHeight="true" outlineLevel="0" collapsed="false">
      <c r="B73" s="30" t="s">
        <v>137</v>
      </c>
      <c r="C73" s="30"/>
      <c r="D73" s="30"/>
      <c r="E73" s="30"/>
      <c r="F73" s="30"/>
      <c r="G73" s="30"/>
      <c r="H73" s="30"/>
      <c r="I73" s="30"/>
      <c r="J73" s="30"/>
      <c r="K73" s="30"/>
      <c r="L73" s="30"/>
      <c r="M73" s="30"/>
      <c r="N73" s="30"/>
    </row>
    <row r="74" customFormat="false" ht="18" hidden="false" customHeight="true" outlineLevel="0" collapsed="false">
      <c r="B74" s="19" t="s">
        <v>138</v>
      </c>
      <c r="C74" s="19"/>
      <c r="D74" s="19"/>
      <c r="E74" s="19"/>
      <c r="F74" s="19"/>
      <c r="G74" s="19"/>
      <c r="H74" s="19"/>
      <c r="I74" s="19"/>
      <c r="J74" s="19"/>
      <c r="K74" s="19"/>
      <c r="L74" s="19"/>
      <c r="M74" s="19"/>
      <c r="N74" s="19"/>
    </row>
    <row r="75" customFormat="false" ht="18" hidden="false" customHeight="true" outlineLevel="0" collapsed="false">
      <c r="B75" s="19" t="s">
        <v>139</v>
      </c>
      <c r="C75" s="19"/>
      <c r="D75" s="19"/>
      <c r="E75" s="19"/>
      <c r="F75" s="19"/>
      <c r="G75" s="19"/>
      <c r="H75" s="19"/>
      <c r="I75" s="19"/>
      <c r="J75" s="19"/>
      <c r="K75" s="19"/>
      <c r="L75" s="19"/>
      <c r="M75" s="19"/>
      <c r="N75" s="19"/>
    </row>
    <row r="76" customFormat="false" ht="18" hidden="false" customHeight="true" outlineLevel="0" collapsed="false">
      <c r="B76" s="19" t="s">
        <v>140</v>
      </c>
      <c r="C76" s="19"/>
      <c r="D76" s="19"/>
      <c r="E76" s="19"/>
      <c r="F76" s="19"/>
      <c r="G76" s="19"/>
      <c r="H76" s="19"/>
      <c r="I76" s="19"/>
      <c r="J76" s="19"/>
      <c r="K76" s="19"/>
      <c r="L76" s="19"/>
      <c r="M76" s="19"/>
      <c r="N76" s="19"/>
    </row>
    <row r="77" customFormat="false" ht="18" hidden="false" customHeight="true" outlineLevel="0" collapsed="false">
      <c r="B77" s="19" t="s">
        <v>141</v>
      </c>
      <c r="C77" s="19"/>
      <c r="D77" s="19"/>
      <c r="E77" s="19"/>
      <c r="F77" s="19"/>
      <c r="G77" s="19"/>
      <c r="H77" s="19"/>
      <c r="I77" s="19"/>
      <c r="J77" s="19"/>
      <c r="K77" s="19"/>
      <c r="L77" s="19"/>
      <c r="M77" s="19"/>
      <c r="N77" s="19"/>
    </row>
    <row r="78" customFormat="false" ht="18" hidden="false" customHeight="true" outlineLevel="0" collapsed="false">
      <c r="B78" s="30"/>
      <c r="C78" s="30"/>
      <c r="D78" s="30"/>
      <c r="E78" s="30"/>
      <c r="F78" s="30"/>
      <c r="G78" s="30"/>
      <c r="H78" s="30"/>
      <c r="I78" s="30"/>
      <c r="J78" s="30"/>
      <c r="K78" s="30"/>
      <c r="L78" s="30"/>
      <c r="M78" s="30"/>
      <c r="N78" s="30"/>
    </row>
    <row r="79" customFormat="false" ht="18" hidden="false" customHeight="true" outlineLevel="0" collapsed="false">
      <c r="B79" s="19" t="s">
        <v>142</v>
      </c>
      <c r="C79" s="19"/>
      <c r="D79" s="19"/>
      <c r="E79" s="19"/>
      <c r="F79" s="19"/>
      <c r="G79" s="19"/>
      <c r="H79" s="19"/>
      <c r="I79" s="19"/>
      <c r="J79" s="19"/>
      <c r="K79" s="19"/>
      <c r="L79" s="19"/>
      <c r="M79" s="19"/>
      <c r="N79" s="19"/>
    </row>
    <row r="80" customFormat="false" ht="18" hidden="false" customHeight="true" outlineLevel="0" collapsed="false">
      <c r="B80" s="30"/>
      <c r="C80" s="30"/>
      <c r="D80" s="30"/>
      <c r="E80" s="30"/>
      <c r="F80" s="30"/>
      <c r="G80" s="30"/>
      <c r="H80" s="30"/>
      <c r="I80" s="30"/>
      <c r="J80" s="30"/>
      <c r="K80" s="30"/>
      <c r="L80" s="30"/>
      <c r="M80" s="30"/>
      <c r="N80" s="30"/>
    </row>
    <row r="81" customFormat="false" ht="18" hidden="false" customHeight="true" outlineLevel="0" collapsed="false">
      <c r="B81" s="19" t="s">
        <v>143</v>
      </c>
      <c r="C81" s="19"/>
      <c r="D81" s="19"/>
      <c r="E81" s="19"/>
      <c r="F81" s="19"/>
      <c r="G81" s="19"/>
      <c r="H81" s="19"/>
      <c r="I81" s="19"/>
      <c r="J81" s="19"/>
      <c r="K81" s="19"/>
      <c r="L81" s="19"/>
      <c r="M81" s="19"/>
      <c r="N81" s="19"/>
    </row>
    <row r="82" customFormat="false" ht="18" hidden="false" customHeight="true" outlineLevel="0" collapsed="false">
      <c r="B82" s="19" t="s">
        <v>144</v>
      </c>
      <c r="C82" s="19"/>
      <c r="D82" s="19"/>
      <c r="E82" s="19"/>
      <c r="F82" s="19"/>
      <c r="G82" s="19"/>
      <c r="H82" s="19"/>
      <c r="I82" s="19"/>
      <c r="J82" s="19"/>
      <c r="K82" s="19"/>
      <c r="L82" s="19"/>
      <c r="M82" s="19"/>
      <c r="N82" s="19"/>
    </row>
    <row r="83" customFormat="false" ht="18" hidden="false" customHeight="true" outlineLevel="0" collapsed="false">
      <c r="B83" s="19" t="s">
        <v>145</v>
      </c>
      <c r="C83" s="19"/>
      <c r="D83" s="19"/>
      <c r="E83" s="19"/>
      <c r="F83" s="19"/>
      <c r="G83" s="19"/>
      <c r="H83" s="19"/>
      <c r="I83" s="19"/>
      <c r="J83" s="19"/>
      <c r="K83" s="19"/>
      <c r="L83" s="19"/>
      <c r="M83" s="19"/>
      <c r="N83" s="19"/>
    </row>
    <row r="84" customFormat="false" ht="18" hidden="false" customHeight="true" outlineLevel="0" collapsed="false">
      <c r="B84" s="19" t="s">
        <v>146</v>
      </c>
      <c r="C84" s="19"/>
      <c r="D84" s="19"/>
      <c r="E84" s="19"/>
      <c r="F84" s="19"/>
      <c r="G84" s="19"/>
      <c r="H84" s="19"/>
      <c r="I84" s="19"/>
      <c r="J84" s="19"/>
      <c r="K84" s="19"/>
      <c r="L84" s="19"/>
      <c r="M84" s="19"/>
      <c r="N84" s="19"/>
    </row>
    <row r="85" customFormat="false" ht="18" hidden="false" customHeight="true" outlineLevel="0" collapsed="false">
      <c r="B85" s="19" t="s">
        <v>147</v>
      </c>
      <c r="C85" s="19"/>
      <c r="D85" s="19"/>
      <c r="E85" s="19"/>
      <c r="F85" s="19"/>
      <c r="G85" s="19"/>
      <c r="H85" s="19"/>
      <c r="I85" s="19"/>
      <c r="J85" s="19"/>
      <c r="K85" s="19"/>
      <c r="L85" s="19"/>
      <c r="M85" s="19"/>
      <c r="N85" s="19"/>
    </row>
    <row r="86" customFormat="false" ht="18" hidden="false" customHeight="true" outlineLevel="0" collapsed="false">
      <c r="B86" s="19" t="s">
        <v>148</v>
      </c>
      <c r="C86" s="19"/>
      <c r="D86" s="19"/>
      <c r="E86" s="19"/>
      <c r="F86" s="19"/>
      <c r="G86" s="19"/>
      <c r="H86" s="19"/>
      <c r="I86" s="19"/>
      <c r="J86" s="19"/>
      <c r="K86" s="19"/>
      <c r="L86" s="19"/>
      <c r="M86" s="19"/>
      <c r="N86" s="19"/>
    </row>
    <row r="88" customFormat="false" ht="24" hidden="false" customHeight="true" outlineLevel="0" collapsed="false">
      <c r="A88" s="21"/>
      <c r="B88" s="5" t="s">
        <v>149</v>
      </c>
      <c r="C88" s="5"/>
      <c r="D88" s="5"/>
      <c r="E88" s="5"/>
      <c r="F88" s="5"/>
      <c r="G88" s="5"/>
      <c r="H88" s="5"/>
      <c r="I88" s="5"/>
      <c r="J88" s="5"/>
      <c r="K88" s="5"/>
      <c r="L88" s="5"/>
      <c r="M88" s="5"/>
      <c r="N88" s="5"/>
    </row>
  </sheetData>
  <mergeCells count="54">
    <mergeCell ref="B1:N1"/>
    <mergeCell ref="B2:N2"/>
    <mergeCell ref="B5:N5"/>
    <mergeCell ref="D7:N7"/>
    <mergeCell ref="D8:N8"/>
    <mergeCell ref="D9:N9"/>
    <mergeCell ref="D10:N10"/>
    <mergeCell ref="D11:N11"/>
    <mergeCell ref="D12:N12"/>
    <mergeCell ref="D13:N13"/>
    <mergeCell ref="D14:H14"/>
    <mergeCell ref="I14:N14"/>
    <mergeCell ref="B15:N15"/>
    <mergeCell ref="I16:N16"/>
    <mergeCell ref="I18:N18"/>
    <mergeCell ref="B19:N19"/>
    <mergeCell ref="C21:E21"/>
    <mergeCell ref="F22:N22"/>
    <mergeCell ref="D23:N23"/>
    <mergeCell ref="D24:N24"/>
    <mergeCell ref="C25:N25"/>
    <mergeCell ref="B27:N27"/>
    <mergeCell ref="B51:N51"/>
    <mergeCell ref="J54:N54"/>
    <mergeCell ref="J55:N55"/>
    <mergeCell ref="J56:N56"/>
    <mergeCell ref="B58:N58"/>
    <mergeCell ref="B60:N60"/>
    <mergeCell ref="B61:N61"/>
    <mergeCell ref="B62:N62"/>
    <mergeCell ref="B63:N63"/>
    <mergeCell ref="B64:N64"/>
    <mergeCell ref="B65:N65"/>
    <mergeCell ref="B66:N66"/>
    <mergeCell ref="B67:N67"/>
    <mergeCell ref="B68:N68"/>
    <mergeCell ref="B69:N69"/>
    <mergeCell ref="B70:N70"/>
    <mergeCell ref="B72:N72"/>
    <mergeCell ref="B73:N73"/>
    <mergeCell ref="B74:N74"/>
    <mergeCell ref="B75:N75"/>
    <mergeCell ref="B76:N76"/>
    <mergeCell ref="B77:N77"/>
    <mergeCell ref="B78:N78"/>
    <mergeCell ref="B79:N79"/>
    <mergeCell ref="B80:N80"/>
    <mergeCell ref="B81:N81"/>
    <mergeCell ref="B82:N82"/>
    <mergeCell ref="B83:N83"/>
    <mergeCell ref="B84:N84"/>
    <mergeCell ref="B85:N85"/>
    <mergeCell ref="B86:N86"/>
    <mergeCell ref="B88:N88"/>
  </mergeCells>
  <conditionalFormatting sqref="L30:L47">
    <cfRule type="colorScale" priority="2">
      <colorScale>
        <cfvo type="min" val="0"/>
        <cfvo type="percentile" val="50"/>
        <cfvo type="max" val="0"/>
        <color rgb="FFFFCCCC"/>
        <color rgb="FFFFEB9C"/>
        <color rgb="FFC6EFCE"/>
      </colorScale>
    </cfRule>
  </conditionalFormatting>
  <conditionalFormatting sqref="I30:I47">
    <cfRule type="expression" priority="3" aboveAverage="0" equalAverage="0" bottom="0" percent="0" rank="0" text="" dxfId="0">
      <formula>$I30="✓ yes"</formula>
    </cfRule>
    <cfRule type="expression" priority="4" aboveAverage="0" equalAverage="0" bottom="0" percent="0" rank="0" text="" dxfId="1">
      <formula>$I30="barely"</formula>
    </cfRule>
    <cfRule type="expression" priority="5" aboveAverage="0" equalAverage="0" bottom="0" percent="0" rank="0" text="" dxfId="2">
      <formula>$I30="✗ no"</formula>
    </cfRule>
  </conditionalFormatting>
  <conditionalFormatting sqref="H30:H47">
    <cfRule type="expression" priority="6" aboveAverage="0" equalAverage="0" bottom="0" percent="0" rank="0" text="" dxfId="0">
      <formula>$H30="✓ ok"</formula>
    </cfRule>
    <cfRule type="expression" priority="7" aboveAverage="0" equalAverage="0" bottom="0" percent="0" rank="0" text="" dxfId="2">
      <formula>OR($H30="COLD",$H30="HEAT",$H30="C+H")</formula>
    </cfRule>
  </conditionalFormatting>
  <conditionalFormatting sqref="J30:J47">
    <cfRule type="expression" priority="8" aboveAverage="0" equalAverage="0" bottom="0" percent="0" rank="0" text="" dxfId="0">
      <formula>$J30="great"</formula>
    </cfRule>
    <cfRule type="expression" priority="9" aboveAverage="0" equalAverage="0" bottom="0" percent="0" rank="0" text="" dxfId="2">
      <formula>$J30="poor"</formula>
    </cfRule>
  </conditionalFormatting>
  <conditionalFormatting sqref="K30:K47">
    <cfRule type="expression" priority="10" aboveAverage="0" equalAverage="0" bottom="0" percent="0" rank="0" text="" dxfId="0">
      <formula>LEFT($K30,3)="yes"</formula>
    </cfRule>
    <cfRule type="expression" priority="11" aboveAverage="0" equalAverage="0" bottom="0" percent="0" rank="0" text="" dxfId="2">
      <formula>$K30="no"</formula>
    </cfRule>
  </conditionalFormatting>
  <conditionalFormatting sqref="M30:M47">
    <cfRule type="expression" priority="12" aboveAverage="0" equalAverage="0" bottom="0" percent="0" rank="0" text="" dxfId="0">
      <formula>$M30="top pick"</formula>
    </cfRule>
    <cfRule type="expression" priority="13" aboveAverage="0" equalAverage="0" bottom="0" percent="0" rank="0" text="" dxfId="3">
      <formula>$M30="good"</formula>
    </cfRule>
    <cfRule type="expression" priority="14" aboveAverage="0" equalAverage="0" bottom="0" percent="0" rank="0" text="" dxfId="2">
      <formula>$M30="won't finish"</formula>
    </cfRule>
    <cfRule type="expression" priority="15" aboveAverage="0" equalAverage="0" bottom="0" percent="0" rank="0" text="" dxfId="1">
      <formula>LEFT($M30,4)="risk"</formula>
    </cfRule>
  </conditionalFormatting>
  <dataValidations count="5">
    <dataValidation allowBlank="false" errorStyle="stop" operator="between" showDropDown="false" showErrorMessage="false" showInputMessage="false" sqref="C7" type="list">
      <formula1>"Standalone,Linked to Plots"</formula1>
      <formula2>0</formula2>
    </dataValidation>
    <dataValidation allowBlank="false" errorStyle="stop" operator="between" showDropDown="false" showErrorMessage="false" showInputMessage="false" sqref="C8" type="list">
      <formula1>Plots!$B$7:$B$18</formula1>
      <formula2>0</formula2>
    </dataValidation>
    <dataValidation allowBlank="false" errorStyle="stop" operator="between" showDropDown="false" showErrorMessage="false" showInputMessage="false" sqref="C11" type="list">
      <formula1>"TRUE,FALSE"</formula1>
      <formula2>0</formula2>
    </dataValidation>
    <dataValidation allowBlank="false" errorStyle="stop" operator="between" showDropDown="false" showErrorMessage="false" showInputMessage="false" sqref="C13" type="list">
      <formula1>"TRUE,FALSE"</formula1>
      <formula2>0</formula2>
    </dataValidation>
    <dataValidation allowBlank="false" errorStyle="stop" operator="between" showDropDown="false" showErrorMessage="false" showInputMessage="false" sqref="C14" type="list">
      <formula1>"None,Compost,Saltpeter,Bonemeal,Potash"</formula1>
      <formula2>0</formula2>
    </dataValidation>
  </dataValidation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13" min="2" style="1" width="9"/>
    <col collapsed="false" customWidth="true" hidden="false" outlineLevel="0" max="14" min="14" style="1" width="2"/>
  </cols>
  <sheetData>
    <row r="1" customFormat="false" ht="3.75" hidden="false" customHeight="true" outlineLevel="0" collapsed="false"/>
    <row r="2" customFormat="false" ht="37.5" hidden="false" customHeight="true" outlineLevel="0" collapsed="false">
      <c r="A2" s="58" t="s">
        <v>150</v>
      </c>
      <c r="B2" s="58"/>
      <c r="C2" s="58"/>
      <c r="D2" s="58"/>
      <c r="E2" s="58"/>
      <c r="F2" s="58"/>
      <c r="G2" s="58"/>
      <c r="H2" s="58"/>
      <c r="I2" s="58"/>
      <c r="J2" s="58"/>
      <c r="K2" s="58"/>
      <c r="L2" s="58"/>
      <c r="M2" s="58"/>
      <c r="N2" s="58"/>
    </row>
    <row r="3" customFormat="false" ht="21.75" hidden="false" customHeight="true" outlineLevel="0" collapsed="false">
      <c r="A3" s="59" t="s">
        <v>151</v>
      </c>
      <c r="B3" s="59"/>
      <c r="C3" s="59"/>
      <c r="D3" s="59"/>
      <c r="E3" s="59"/>
      <c r="F3" s="59"/>
      <c r="G3" s="59"/>
      <c r="H3" s="59"/>
      <c r="I3" s="59"/>
      <c r="J3" s="59"/>
      <c r="K3" s="59"/>
      <c r="L3" s="59"/>
      <c r="M3" s="59"/>
      <c r="N3" s="59"/>
    </row>
    <row r="4" customFormat="false" ht="6" hidden="false" customHeight="true" outlineLevel="0" collapsed="false"/>
    <row r="5" customFormat="false" ht="25.5" hidden="false" customHeight="true" outlineLevel="0" collapsed="false">
      <c r="A5" s="5" t="s">
        <v>152</v>
      </c>
      <c r="B5" s="5"/>
      <c r="C5" s="5"/>
      <c r="D5" s="5"/>
      <c r="E5" s="5"/>
      <c r="F5" s="5"/>
      <c r="G5" s="5"/>
      <c r="H5" s="5"/>
      <c r="I5" s="5"/>
      <c r="J5" s="5"/>
      <c r="K5" s="5"/>
      <c r="L5" s="5"/>
      <c r="M5" s="5"/>
      <c r="N5" s="5"/>
    </row>
    <row r="6" customFormat="false" ht="6" hidden="false" customHeight="true" outlineLevel="0" collapsed="false"/>
    <row r="7" customFormat="false" ht="18" hidden="false" customHeight="true" outlineLevel="0" collapsed="false">
      <c r="B7" s="60" t="s">
        <v>153</v>
      </c>
      <c r="C7" s="60"/>
      <c r="D7" s="60"/>
      <c r="E7" s="60"/>
      <c r="F7" s="60" t="s">
        <v>154</v>
      </c>
      <c r="G7" s="60"/>
      <c r="H7" s="60"/>
      <c r="I7" s="60"/>
      <c r="J7" s="60" t="s">
        <v>155</v>
      </c>
      <c r="K7" s="60"/>
      <c r="L7" s="60"/>
      <c r="M7" s="60"/>
    </row>
    <row r="8" customFormat="false" ht="31.5" hidden="false" customHeight="true" outlineLevel="0" collapsed="false">
      <c r="B8" s="61" t="s">
        <v>156</v>
      </c>
      <c r="C8" s="61"/>
      <c r="D8" s="61"/>
      <c r="E8" s="61"/>
      <c r="F8" s="61" t="str">
        <f aca="false">ROUND(MIN(Climate!$D$5:$D$112),1)&amp;"°C avg"</f>
        <v>-21°C avg</v>
      </c>
      <c r="G8" s="61"/>
      <c r="H8" s="61"/>
      <c r="I8" s="61"/>
      <c r="J8" s="61" t="str">
        <f aca="false">ROUND(MAX(Climate!$D$5:$D$112),1)&amp;"°C avg"</f>
        <v>15.3°C avg</v>
      </c>
      <c r="K8" s="61"/>
      <c r="L8" s="61"/>
      <c r="M8" s="61"/>
    </row>
    <row r="9" customFormat="false" ht="18" hidden="false" customHeight="true" outlineLevel="0" collapsed="false">
      <c r="B9" s="62" t="s">
        <v>157</v>
      </c>
      <c r="C9" s="62"/>
      <c r="D9" s="62"/>
      <c r="E9" s="62"/>
      <c r="F9" s="62" t="s">
        <v>158</v>
      </c>
      <c r="G9" s="62"/>
      <c r="H9" s="62"/>
      <c r="I9" s="62"/>
      <c r="J9" s="62" t="s">
        <v>159</v>
      </c>
      <c r="K9" s="62"/>
      <c r="L9" s="62"/>
      <c r="M9" s="62"/>
    </row>
    <row r="10" customFormat="false" ht="7.5" hidden="false" customHeight="true" outlineLevel="0" collapsed="false"/>
    <row r="11" customFormat="false" ht="18" hidden="false" customHeight="true" outlineLevel="0" collapsed="false">
      <c r="B11" s="60" t="s">
        <v>160</v>
      </c>
      <c r="C11" s="60"/>
      <c r="D11" s="60"/>
      <c r="E11" s="60"/>
      <c r="F11" s="60" t="s">
        <v>161</v>
      </c>
      <c r="G11" s="60"/>
      <c r="H11" s="60"/>
      <c r="I11" s="60"/>
      <c r="J11" s="60" t="s">
        <v>162</v>
      </c>
      <c r="K11" s="60"/>
      <c r="L11" s="60"/>
      <c r="M11" s="60"/>
    </row>
    <row r="12" customFormat="false" ht="31.5" hidden="false" customHeight="true" outlineLevel="0" collapsed="false">
      <c r="B12" s="61" t="str">
        <f aca="false">COUNTIF(Climate!$D$5:$D$112,"&gt;0")&amp;" of "&amp;DaysPerYear</f>
        <v>50 of 108</v>
      </c>
      <c r="C12" s="61"/>
      <c r="D12" s="61"/>
      <c r="E12" s="61"/>
      <c r="F12" s="61" t="str">
        <f aca="false">COUNTIF(Climate!$E$5:$E$112,"&lt;0")&amp;" of "&amp;DaysPerYear</f>
        <v>75 of 108</v>
      </c>
      <c r="G12" s="61"/>
      <c r="H12" s="61"/>
      <c r="I12" s="61"/>
      <c r="J12" s="61" t="str">
        <f aca="false">CurrentDay&amp;" ("&amp;MOD(CurrentDay-1,DaysPerMonth)+1&amp;" "&amp;CHOOSE(INT((CurrentDay-1)/DaysPerMonth)+1,"Jan","Feb","Mar","Apr","May","Jun","Jul","Aug","Sep","Oct","Nov","Dec")&amp;")"</f>
        <v>50 (5 Jun)</v>
      </c>
      <c r="K12" s="61"/>
      <c r="L12" s="61"/>
      <c r="M12" s="61"/>
    </row>
    <row r="13" customFormat="false" ht="18" hidden="false" customHeight="true" outlineLevel="0" collapsed="false">
      <c r="B13" s="62" t="s">
        <v>163</v>
      </c>
      <c r="C13" s="62"/>
      <c r="D13" s="62"/>
      <c r="E13" s="62"/>
      <c r="F13" s="62" t="s">
        <v>164</v>
      </c>
      <c r="G13" s="62"/>
      <c r="H13" s="62"/>
      <c r="I13" s="62"/>
      <c r="J13" s="62" t="s">
        <v>165</v>
      </c>
      <c r="K13" s="62"/>
      <c r="L13" s="62"/>
      <c r="M13" s="62"/>
    </row>
    <row r="14" customFormat="false" ht="13.5" hidden="false" customHeight="true" outlineLevel="0" collapsed="false"/>
    <row r="15" customFormat="false" ht="25.5" hidden="false" customHeight="true" outlineLevel="0" collapsed="false">
      <c r="A15" s="5" t="s">
        <v>166</v>
      </c>
      <c r="B15" s="5"/>
      <c r="C15" s="5"/>
      <c r="D15" s="5"/>
      <c r="E15" s="5"/>
      <c r="F15" s="5"/>
      <c r="G15" s="5"/>
      <c r="H15" s="5"/>
      <c r="I15" s="5"/>
      <c r="J15" s="5"/>
      <c r="K15" s="5"/>
      <c r="L15" s="5"/>
      <c r="M15" s="5"/>
      <c r="N15" s="5"/>
    </row>
    <row r="16" customFormat="false" ht="6" hidden="false" customHeight="true" outlineLevel="0" collapsed="false"/>
    <row r="17" customFormat="false" ht="21.75" hidden="false" customHeight="true" outlineLevel="0" collapsed="false"/>
    <row r="18" customFormat="false" ht="21.75" hidden="false" customHeight="true" outlineLevel="0" collapsed="false"/>
    <row r="19" customFormat="false" ht="21.75" hidden="false" customHeight="true" outlineLevel="0" collapsed="false"/>
    <row r="20" customFormat="false" ht="21.75" hidden="false" customHeight="true" outlineLevel="0" collapsed="false"/>
    <row r="21" customFormat="false" ht="21.75" hidden="false" customHeight="true" outlineLevel="0" collapsed="false"/>
    <row r="22" customFormat="false" ht="21.75" hidden="false" customHeight="true" outlineLevel="0" collapsed="false"/>
    <row r="23" customFormat="false" ht="21.75" hidden="false" customHeight="true" outlineLevel="0" collapsed="false"/>
    <row r="24" customFormat="false" ht="21.75" hidden="false" customHeight="true" outlineLevel="0" collapsed="false"/>
    <row r="25" customFormat="false" ht="21.75" hidden="false" customHeight="true" outlineLevel="0" collapsed="false"/>
    <row r="26" customFormat="false" ht="21.75" hidden="false" customHeight="true" outlineLevel="0" collapsed="false"/>
    <row r="27" customFormat="false" ht="21.75" hidden="false" customHeight="true" outlineLevel="0" collapsed="false"/>
    <row r="28" customFormat="false" ht="21.75" hidden="false" customHeight="true" outlineLevel="0" collapsed="false"/>
    <row r="29" customFormat="false" ht="21.75" hidden="false" customHeight="true" outlineLevel="0" collapsed="false"/>
    <row r="30" customFormat="false" ht="21.75" hidden="false" customHeight="true" outlineLevel="0" collapsed="false"/>
    <row r="31" customFormat="false" ht="21.75" hidden="false" customHeight="true" outlineLevel="0" collapsed="false"/>
    <row r="32" customFormat="false" ht="21.75" hidden="false" customHeight="true" outlineLevel="0" collapsed="false"/>
    <row r="33" customFormat="false" ht="21.75" hidden="false" customHeight="true" outlineLevel="0" collapsed="false"/>
    <row r="34" customFormat="false" ht="21.75" hidden="false" customHeight="true" outlineLevel="0" collapsed="false"/>
    <row r="35" customFormat="false" ht="21.75" hidden="false" customHeight="true" outlineLevel="0" collapsed="false"/>
    <row r="36" customFormat="false" ht="21.75" hidden="false" customHeight="true" outlineLevel="0" collapsed="false"/>
    <row r="37" customFormat="false" ht="21.75" hidden="false" customHeight="true" outlineLevel="0" collapsed="false"/>
    <row r="38" customFormat="false" ht="21.75" hidden="false" customHeight="true" outlineLevel="0" collapsed="false"/>
    <row r="39" customFormat="false" ht="21.75" hidden="false" customHeight="true" outlineLevel="0" collapsed="false"/>
    <row r="40" customFormat="false" ht="21.75" hidden="false" customHeight="true" outlineLevel="0" collapsed="false"/>
    <row r="41" customFormat="false" ht="21.75" hidden="false" customHeight="true" outlineLevel="0" collapsed="false"/>
    <row r="42" customFormat="false" ht="21.75" hidden="false" customHeight="true" outlineLevel="0" collapsed="false"/>
    <row r="43" customFormat="false" ht="21.75" hidden="false" customHeight="true" outlineLevel="0" collapsed="false"/>
    <row r="44" customFormat="false" ht="21.75" hidden="false" customHeight="true" outlineLevel="0" collapsed="false"/>
    <row r="45" customFormat="false" ht="21.75" hidden="false" customHeight="true" outlineLevel="0" collapsed="false"/>
    <row r="46" customFormat="false" ht="21.75" hidden="false" customHeight="true" outlineLevel="0" collapsed="false"/>
    <row r="47" customFormat="false" ht="13.5" hidden="false" customHeight="true" outlineLevel="0" collapsed="false"/>
    <row r="48" customFormat="false" ht="25.5" hidden="false" customHeight="true" outlineLevel="0" collapsed="false">
      <c r="A48" s="5" t="s">
        <v>167</v>
      </c>
      <c r="B48" s="5"/>
      <c r="C48" s="5"/>
      <c r="D48" s="5"/>
      <c r="E48" s="5"/>
      <c r="F48" s="5"/>
      <c r="G48" s="5"/>
      <c r="H48" s="5"/>
      <c r="I48" s="5"/>
      <c r="J48" s="5"/>
      <c r="K48" s="5"/>
      <c r="L48" s="5"/>
      <c r="M48" s="5"/>
      <c r="N48" s="5"/>
    </row>
    <row r="49" customFormat="false" ht="21.75" hidden="false" customHeight="true" outlineLevel="0" collapsed="false">
      <c r="A49" s="63"/>
      <c r="B49" s="64" t="s">
        <v>168</v>
      </c>
      <c r="C49" s="64"/>
      <c r="D49" s="64"/>
      <c r="E49" s="64"/>
      <c r="F49" s="64"/>
      <c r="G49" s="64"/>
      <c r="H49" s="64"/>
      <c r="I49" s="64"/>
      <c r="J49" s="65" t="n">
        <f aca="false">COUNTIF(Plots!$M$7:$M$18,"&lt;&gt;empty")-COUNTIF(Plots!$M$7:$M$18,"unplanted")</f>
        <v>1</v>
      </c>
      <c r="K49" s="65"/>
      <c r="L49" s="65"/>
      <c r="M49" s="65"/>
      <c r="N49" s="63"/>
    </row>
    <row r="50" customFormat="false" ht="21.75" hidden="false" customHeight="true" outlineLevel="0" collapsed="false">
      <c r="A50" s="66"/>
      <c r="B50" s="67" t="s">
        <v>169</v>
      </c>
      <c r="C50" s="67"/>
      <c r="D50" s="67"/>
      <c r="E50" s="67"/>
      <c r="F50" s="67"/>
      <c r="G50" s="67"/>
      <c r="H50" s="67"/>
      <c r="I50" s="67"/>
      <c r="J50" s="68" t="n">
        <f aca="false">COUNTIF(Plots!$M$7:$M$18,"READY")</f>
        <v>0</v>
      </c>
      <c r="K50" s="68"/>
      <c r="L50" s="68"/>
      <c r="M50" s="68"/>
      <c r="N50" s="66"/>
    </row>
    <row r="51" customFormat="false" ht="21.75" hidden="false" customHeight="true" outlineLevel="0" collapsed="false">
      <c r="A51" s="63"/>
      <c r="B51" s="64" t="s">
        <v>170</v>
      </c>
      <c r="C51" s="64"/>
      <c r="D51" s="64"/>
      <c r="E51" s="64"/>
      <c r="F51" s="64"/>
      <c r="G51" s="64"/>
      <c r="H51" s="64"/>
      <c r="I51" s="64"/>
      <c r="J51" s="65" t="n">
        <f aca="false">COUNTIF(Plots!$M$7:$M$18,"ripening")</f>
        <v>0</v>
      </c>
      <c r="K51" s="65"/>
      <c r="L51" s="65"/>
      <c r="M51" s="65"/>
      <c r="N51" s="63"/>
    </row>
    <row r="52" customFormat="false" ht="21.75" hidden="false" customHeight="true" outlineLevel="0" collapsed="false">
      <c r="A52" s="66"/>
      <c r="B52" s="67" t="s">
        <v>171</v>
      </c>
      <c r="C52" s="67"/>
      <c r="D52" s="67"/>
      <c r="E52" s="67"/>
      <c r="F52" s="67"/>
      <c r="G52" s="67"/>
      <c r="H52" s="67"/>
      <c r="I52" s="67"/>
      <c r="J52" s="68" t="n">
        <f aca="false">COUNTIF(Plots!$N$7:$N$18,"!")</f>
        <v>0</v>
      </c>
      <c r="K52" s="68"/>
      <c r="L52" s="68"/>
      <c r="M52" s="68"/>
      <c r="N52" s="66"/>
    </row>
    <row r="53" customFormat="false" ht="21.75" hidden="false" customHeight="true" outlineLevel="0" collapsed="false">
      <c r="A53" s="63"/>
      <c r="B53" s="64" t="s">
        <v>172</v>
      </c>
      <c r="C53" s="64"/>
      <c r="D53" s="64"/>
      <c r="E53" s="64"/>
      <c r="F53" s="64"/>
      <c r="G53" s="64"/>
      <c r="H53" s="64"/>
      <c r="I53" s="64"/>
      <c r="J53" s="65" t="n">
        <f aca="false">COUNTIF(Plots!$O$7:$O$18,"!")</f>
        <v>0</v>
      </c>
      <c r="K53" s="65"/>
      <c r="L53" s="65"/>
      <c r="M53" s="65"/>
      <c r="N53" s="63"/>
    </row>
    <row r="54" customFormat="false" ht="13.5" hidden="false" customHeight="true" outlineLevel="0" collapsed="false"/>
    <row r="55" customFormat="false" ht="25.5" hidden="false" customHeight="true" outlineLevel="0" collapsed="false">
      <c r="A55" s="5" t="s">
        <v>173</v>
      </c>
      <c r="B55" s="5"/>
      <c r="C55" s="5"/>
      <c r="D55" s="5"/>
      <c r="E55" s="5"/>
      <c r="F55" s="5"/>
      <c r="G55" s="5"/>
      <c r="H55" s="5"/>
      <c r="I55" s="5"/>
      <c r="J55" s="5"/>
      <c r="K55" s="5"/>
      <c r="L55" s="5"/>
      <c r="M55" s="5"/>
      <c r="N55" s="5"/>
    </row>
    <row r="56" customFormat="false" ht="21.75" hidden="false" customHeight="true" outlineLevel="0" collapsed="false">
      <c r="A56" s="63"/>
      <c r="B56" s="69" t="s">
        <v>28</v>
      </c>
      <c r="C56" s="69"/>
      <c r="D56" s="69"/>
      <c r="E56" s="70" t="s">
        <v>174</v>
      </c>
      <c r="F56" s="70"/>
      <c r="G56" s="70"/>
      <c r="H56" s="70"/>
      <c r="I56" s="70"/>
      <c r="J56" s="70"/>
      <c r="K56" s="70"/>
      <c r="L56" s="70"/>
      <c r="M56" s="70"/>
      <c r="N56" s="63"/>
    </row>
    <row r="57" customFormat="false" ht="21.75" hidden="false" customHeight="true" outlineLevel="0" collapsed="false">
      <c r="A57" s="66"/>
      <c r="B57" s="71" t="s">
        <v>30</v>
      </c>
      <c r="C57" s="71"/>
      <c r="D57" s="71"/>
      <c r="E57" s="72" t="s">
        <v>175</v>
      </c>
      <c r="F57" s="72"/>
      <c r="G57" s="72"/>
      <c r="H57" s="72"/>
      <c r="I57" s="72"/>
      <c r="J57" s="72"/>
      <c r="K57" s="72"/>
      <c r="L57" s="72"/>
      <c r="M57" s="72"/>
      <c r="N57" s="66"/>
    </row>
    <row r="58" customFormat="false" ht="21.75" hidden="false" customHeight="true" outlineLevel="0" collapsed="false">
      <c r="A58" s="63"/>
      <c r="B58" s="69" t="s">
        <v>32</v>
      </c>
      <c r="C58" s="69"/>
      <c r="D58" s="69"/>
      <c r="E58" s="70" t="s">
        <v>176</v>
      </c>
      <c r="F58" s="70"/>
      <c r="G58" s="70"/>
      <c r="H58" s="70"/>
      <c r="I58" s="70"/>
      <c r="J58" s="70"/>
      <c r="K58" s="70"/>
      <c r="L58" s="70"/>
      <c r="M58" s="70"/>
      <c r="N58" s="63"/>
    </row>
    <row r="59" customFormat="false" ht="21.75" hidden="false" customHeight="true" outlineLevel="0" collapsed="false">
      <c r="A59" s="66"/>
      <c r="B59" s="71" t="s">
        <v>34</v>
      </c>
      <c r="C59" s="71"/>
      <c r="D59" s="71"/>
      <c r="E59" s="72" t="s">
        <v>177</v>
      </c>
      <c r="F59" s="72"/>
      <c r="G59" s="72"/>
      <c r="H59" s="72"/>
      <c r="I59" s="72"/>
      <c r="J59" s="72"/>
      <c r="K59" s="72"/>
      <c r="L59" s="72"/>
      <c r="M59" s="72"/>
      <c r="N59" s="66"/>
    </row>
    <row r="60" customFormat="false" ht="21.75" hidden="false" customHeight="true" outlineLevel="0" collapsed="false">
      <c r="A60" s="63"/>
      <c r="B60" s="69" t="s">
        <v>36</v>
      </c>
      <c r="C60" s="69"/>
      <c r="D60" s="69"/>
      <c r="E60" s="70" t="s">
        <v>178</v>
      </c>
      <c r="F60" s="70"/>
      <c r="G60" s="70"/>
      <c r="H60" s="70"/>
      <c r="I60" s="70"/>
      <c r="J60" s="70"/>
      <c r="K60" s="70"/>
      <c r="L60" s="70"/>
      <c r="M60" s="70"/>
      <c r="N60" s="63"/>
    </row>
    <row r="61" customFormat="false" ht="21.75" hidden="false" customHeight="true" outlineLevel="0" collapsed="false">
      <c r="A61" s="66"/>
      <c r="B61" s="71" t="s">
        <v>38</v>
      </c>
      <c r="C61" s="71"/>
      <c r="D61" s="71"/>
      <c r="E61" s="72" t="s">
        <v>179</v>
      </c>
      <c r="F61" s="72"/>
      <c r="G61" s="72"/>
      <c r="H61" s="72"/>
      <c r="I61" s="72"/>
      <c r="J61" s="72"/>
      <c r="K61" s="72"/>
      <c r="L61" s="72"/>
      <c r="M61" s="72"/>
      <c r="N61" s="66"/>
    </row>
    <row r="62" customFormat="false" ht="12" hidden="false" customHeight="true" outlineLevel="0" collapsed="false"/>
  </sheetData>
  <mergeCells count="46">
    <mergeCell ref="A2:N2"/>
    <mergeCell ref="A3:N3"/>
    <mergeCell ref="A5:N5"/>
    <mergeCell ref="B7:E7"/>
    <mergeCell ref="F7:I7"/>
    <mergeCell ref="J7:M7"/>
    <mergeCell ref="B8:E8"/>
    <mergeCell ref="F8:I8"/>
    <mergeCell ref="J8:M8"/>
    <mergeCell ref="B9:E9"/>
    <mergeCell ref="F9:I9"/>
    <mergeCell ref="J9:M9"/>
    <mergeCell ref="B11:E11"/>
    <mergeCell ref="F11:I11"/>
    <mergeCell ref="J11:M11"/>
    <mergeCell ref="B12:E12"/>
    <mergeCell ref="F12:I12"/>
    <mergeCell ref="J12:M12"/>
    <mergeCell ref="B13:E13"/>
    <mergeCell ref="F13:I13"/>
    <mergeCell ref="J13:M13"/>
    <mergeCell ref="A15:N15"/>
    <mergeCell ref="A48:N48"/>
    <mergeCell ref="B49:I49"/>
    <mergeCell ref="J49:M49"/>
    <mergeCell ref="B50:I50"/>
    <mergeCell ref="J50:M50"/>
    <mergeCell ref="B51:I51"/>
    <mergeCell ref="J51:M51"/>
    <mergeCell ref="B52:I52"/>
    <mergeCell ref="J52:M52"/>
    <mergeCell ref="B53:I53"/>
    <mergeCell ref="J53:M53"/>
    <mergeCell ref="A55:N55"/>
    <mergeCell ref="B56:D56"/>
    <mergeCell ref="E56:M56"/>
    <mergeCell ref="B57:D57"/>
    <mergeCell ref="E57:M57"/>
    <mergeCell ref="B58:D58"/>
    <mergeCell ref="E58:M58"/>
    <mergeCell ref="B59:D59"/>
    <mergeCell ref="E59:M59"/>
    <mergeCell ref="B60:D60"/>
    <mergeCell ref="E60:M60"/>
    <mergeCell ref="B61:D61"/>
    <mergeCell ref="E61:M6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2B788"/>
    <pageSetUpPr fitToPage="true"/>
  </sheetPr>
  <dimension ref="A1:E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6"/>
    <col collapsed="false" customWidth="true" hidden="false" outlineLevel="0" max="3" min="3" style="1" width="14"/>
    <col collapsed="false" customWidth="true" hidden="false" outlineLevel="0" max="4" min="4" style="1" width="50"/>
    <col collapsed="false" customWidth="true" hidden="false" outlineLevel="0" max="5" min="5" style="1" width="60"/>
  </cols>
  <sheetData>
    <row r="1" customFormat="false" ht="36" hidden="false" customHeight="true" outlineLevel="0" collapsed="false">
      <c r="A1" s="2" t="s">
        <v>180</v>
      </c>
      <c r="B1" s="2"/>
      <c r="C1" s="2"/>
      <c r="D1" s="2"/>
      <c r="E1" s="2"/>
    </row>
    <row r="2" customFormat="false" ht="18" hidden="false" customHeight="true" outlineLevel="0" collapsed="false">
      <c r="A2" s="3" t="s">
        <v>181</v>
      </c>
      <c r="B2" s="3"/>
      <c r="C2" s="3"/>
      <c r="D2" s="3"/>
      <c r="E2" s="3"/>
    </row>
    <row r="3" customFormat="false" ht="3.75" hidden="false" customHeight="true" outlineLevel="0" collapsed="false">
      <c r="A3" s="4"/>
      <c r="B3" s="4"/>
      <c r="C3" s="4"/>
      <c r="D3" s="4"/>
      <c r="E3" s="4"/>
    </row>
    <row r="4" customFormat="false" ht="21.75" hidden="false" customHeight="true" outlineLevel="0" collapsed="false">
      <c r="B4" s="37" t="s">
        <v>182</v>
      </c>
      <c r="C4" s="37" t="s">
        <v>183</v>
      </c>
      <c r="D4" s="37" t="s">
        <v>184</v>
      </c>
      <c r="E4" s="37" t="s">
        <v>185</v>
      </c>
    </row>
    <row r="5" customFormat="false" ht="24" hidden="false" customHeight="true" outlineLevel="0" collapsed="false">
      <c r="A5" s="5" t="s">
        <v>28</v>
      </c>
      <c r="B5" s="5"/>
      <c r="C5" s="5"/>
      <c r="D5" s="5"/>
      <c r="E5" s="5"/>
    </row>
    <row r="6" customFormat="false" ht="19.5" hidden="false" customHeight="true" outlineLevel="0" collapsed="false">
      <c r="A6" s="38"/>
      <c r="B6" s="73" t="s">
        <v>186</v>
      </c>
      <c r="C6" s="74" t="n">
        <v>9</v>
      </c>
      <c r="D6" s="75" t="s">
        <v>187</v>
      </c>
      <c r="E6" s="76" t="s">
        <v>188</v>
      </c>
    </row>
    <row r="7" customFormat="false" ht="19.5" hidden="false" customHeight="true" outlineLevel="0" collapsed="false">
      <c r="A7" s="45"/>
      <c r="B7" s="77" t="s">
        <v>189</v>
      </c>
      <c r="C7" s="74" t="n">
        <v>12</v>
      </c>
      <c r="D7" s="78"/>
      <c r="E7" s="79" t="s">
        <v>190</v>
      </c>
    </row>
    <row r="8" customFormat="false" ht="19.5" hidden="false" customHeight="true" outlineLevel="0" collapsed="false">
      <c r="A8" s="38"/>
      <c r="B8" s="73" t="s">
        <v>191</v>
      </c>
      <c r="C8" s="74" t="n">
        <v>24</v>
      </c>
      <c r="D8" s="75" t="s">
        <v>192</v>
      </c>
      <c r="E8" s="76" t="s">
        <v>193</v>
      </c>
    </row>
    <row r="9" customFormat="false" ht="19.5" hidden="false" customHeight="true" outlineLevel="0" collapsed="false">
      <c r="A9" s="45"/>
      <c r="B9" s="77" t="s">
        <v>194</v>
      </c>
      <c r="C9" s="80" t="n">
        <f aca="false">DaysPerMonth*MonthsPerYear</f>
        <v>108</v>
      </c>
      <c r="D9" s="78" t="s">
        <v>187</v>
      </c>
      <c r="E9" s="79" t="s">
        <v>195</v>
      </c>
    </row>
    <row r="10" customFormat="false" ht="19.5" hidden="false" customHeight="true" outlineLevel="0" collapsed="false">
      <c r="A10" s="38"/>
      <c r="B10" s="73" t="s">
        <v>196</v>
      </c>
      <c r="C10" s="74" t="n">
        <v>5</v>
      </c>
      <c r="D10" s="75"/>
      <c r="E10" s="76" t="s">
        <v>197</v>
      </c>
    </row>
    <row r="11" customFormat="false" ht="24" hidden="false" customHeight="true" outlineLevel="0" collapsed="false">
      <c r="A11" s="5" t="s">
        <v>198</v>
      </c>
      <c r="B11" s="5"/>
      <c r="C11" s="5"/>
      <c r="D11" s="5"/>
      <c r="E11" s="5"/>
    </row>
    <row r="12" customFormat="false" ht="19.5" hidden="false" customHeight="true" outlineLevel="0" collapsed="false">
      <c r="A12" s="45"/>
      <c r="B12" s="77" t="s">
        <v>199</v>
      </c>
      <c r="C12" s="81" t="n">
        <v>3.5</v>
      </c>
      <c r="D12" s="78" t="s">
        <v>192</v>
      </c>
      <c r="E12" s="79" t="s">
        <v>200</v>
      </c>
    </row>
    <row r="13" customFormat="false" ht="19.5" hidden="false" customHeight="true" outlineLevel="0" collapsed="false">
      <c r="A13" s="38"/>
      <c r="B13" s="73" t="s">
        <v>201</v>
      </c>
      <c r="C13" s="82" t="n">
        <f aca="false">HoursPerDay/TickMean</f>
        <v>6.85714285714286</v>
      </c>
      <c r="D13" s="75" t="s">
        <v>202</v>
      </c>
      <c r="E13" s="76" t="s">
        <v>203</v>
      </c>
    </row>
    <row r="14" customFormat="false" ht="24" hidden="false" customHeight="true" outlineLevel="0" collapsed="false">
      <c r="A14" s="5" t="s">
        <v>204</v>
      </c>
      <c r="B14" s="5"/>
      <c r="C14" s="5"/>
      <c r="D14" s="5"/>
      <c r="E14" s="5"/>
    </row>
    <row r="15" customFormat="false" ht="19.5" hidden="false" customHeight="true" outlineLevel="0" collapsed="false">
      <c r="A15" s="45"/>
      <c r="B15" s="77" t="s">
        <v>205</v>
      </c>
      <c r="C15" s="81" t="n">
        <v>1</v>
      </c>
      <c r="D15" s="78" t="s">
        <v>206</v>
      </c>
      <c r="E15" s="79" t="s">
        <v>207</v>
      </c>
    </row>
    <row r="16" customFormat="false" ht="19.5" hidden="false" customHeight="true" outlineLevel="0" collapsed="false">
      <c r="A16" s="38"/>
      <c r="B16" s="73" t="s">
        <v>208</v>
      </c>
      <c r="C16" s="74" t="n">
        <v>19</v>
      </c>
      <c r="D16" s="75" t="s">
        <v>209</v>
      </c>
      <c r="E16" s="76" t="s">
        <v>210</v>
      </c>
    </row>
    <row r="17" customFormat="false" ht="19.5" hidden="false" customHeight="true" outlineLevel="0" collapsed="false">
      <c r="A17" s="45"/>
      <c r="B17" s="77" t="s">
        <v>211</v>
      </c>
      <c r="C17" s="81" t="n">
        <v>0.1</v>
      </c>
      <c r="D17" s="78" t="s">
        <v>212</v>
      </c>
      <c r="E17" s="79" t="s">
        <v>213</v>
      </c>
    </row>
    <row r="18" customFormat="false" ht="19.5" hidden="false" customHeight="true" outlineLevel="0" collapsed="false">
      <c r="A18" s="38"/>
      <c r="B18" s="73" t="s">
        <v>214</v>
      </c>
      <c r="C18" s="74" t="n">
        <v>10</v>
      </c>
      <c r="D18" s="75" t="s">
        <v>215</v>
      </c>
      <c r="E18" s="76" t="s">
        <v>216</v>
      </c>
    </row>
    <row r="19" customFormat="false" ht="19.5" hidden="false" customHeight="true" outlineLevel="0" collapsed="false">
      <c r="A19" s="45"/>
      <c r="B19" s="77" t="s">
        <v>217</v>
      </c>
      <c r="C19" s="81" t="n">
        <v>0.1</v>
      </c>
      <c r="D19" s="78" t="s">
        <v>218</v>
      </c>
      <c r="E19" s="79" t="s">
        <v>219</v>
      </c>
    </row>
    <row r="20" customFormat="false" ht="24" hidden="false" customHeight="true" outlineLevel="0" collapsed="false">
      <c r="A20" s="5" t="s">
        <v>220</v>
      </c>
      <c r="B20" s="5"/>
      <c r="C20" s="5"/>
      <c r="D20" s="5"/>
      <c r="E20" s="5"/>
    </row>
    <row r="21" customFormat="false" ht="19.5" hidden="false" customHeight="true" outlineLevel="0" collapsed="false">
      <c r="A21" s="38"/>
      <c r="B21" s="73" t="s">
        <v>221</v>
      </c>
      <c r="C21" s="81" t="n">
        <v>0.25</v>
      </c>
      <c r="D21" s="75" t="s">
        <v>222</v>
      </c>
      <c r="E21" s="76" t="s">
        <v>223</v>
      </c>
    </row>
    <row r="22" customFormat="false" ht="19.5" hidden="false" customHeight="true" outlineLevel="0" collapsed="false">
      <c r="A22" s="45"/>
      <c r="B22" s="77" t="s">
        <v>224</v>
      </c>
      <c r="C22" s="74" t="n">
        <v>3</v>
      </c>
      <c r="D22" s="78"/>
      <c r="E22" s="79" t="s">
        <v>225</v>
      </c>
    </row>
    <row r="23" customFormat="false" ht="19.5" hidden="false" customHeight="true" outlineLevel="0" collapsed="false">
      <c r="A23" s="38"/>
      <c r="B23" s="73" t="s">
        <v>226</v>
      </c>
      <c r="C23" s="74" t="n">
        <v>150</v>
      </c>
      <c r="D23" s="75"/>
      <c r="E23" s="76" t="s">
        <v>227</v>
      </c>
    </row>
    <row r="24" customFormat="false" ht="19.5" hidden="false" customHeight="true" outlineLevel="0" collapsed="false">
      <c r="A24" s="45"/>
      <c r="B24" s="77" t="s">
        <v>228</v>
      </c>
      <c r="C24" s="74" t="n">
        <v>100</v>
      </c>
      <c r="D24" s="78"/>
      <c r="E24" s="79" t="s">
        <v>229</v>
      </c>
    </row>
    <row r="25" customFormat="false" ht="19.5" hidden="false" customHeight="true" outlineLevel="0" collapsed="false">
      <c r="A25" s="38"/>
      <c r="B25" s="73" t="s">
        <v>230</v>
      </c>
      <c r="C25" s="81" t="n">
        <v>0.05</v>
      </c>
      <c r="D25" s="75" t="s">
        <v>222</v>
      </c>
      <c r="E25" s="76" t="s">
        <v>231</v>
      </c>
    </row>
    <row r="26" customFormat="false" ht="24" hidden="false" customHeight="true" outlineLevel="0" collapsed="false">
      <c r="A26" s="5" t="s">
        <v>232</v>
      </c>
      <c r="B26" s="5"/>
      <c r="C26" s="5"/>
      <c r="D26" s="5"/>
      <c r="E26" s="5"/>
    </row>
    <row r="27" customFormat="false" ht="19.5" hidden="false" customHeight="true" outlineLevel="0" collapsed="false">
      <c r="A27" s="45"/>
      <c r="B27" s="77" t="s">
        <v>233</v>
      </c>
      <c r="C27" s="74" t="n">
        <v>48</v>
      </c>
      <c r="D27" s="78" t="s">
        <v>192</v>
      </c>
      <c r="E27" s="79" t="s">
        <v>234</v>
      </c>
    </row>
    <row r="28" customFormat="false" ht="19.5" hidden="false" customHeight="true" outlineLevel="0" collapsed="false">
      <c r="A28" s="38"/>
      <c r="B28" s="73" t="s">
        <v>235</v>
      </c>
      <c r="C28" s="81" t="n">
        <v>0.1</v>
      </c>
      <c r="D28" s="75"/>
      <c r="E28" s="76" t="s">
        <v>236</v>
      </c>
    </row>
    <row r="29" customFormat="false" ht="19.5" hidden="false" customHeight="true" outlineLevel="0" collapsed="false">
      <c r="A29" s="45"/>
      <c r="B29" s="77" t="s">
        <v>237</v>
      </c>
      <c r="C29" s="74" t="n">
        <v>0</v>
      </c>
      <c r="D29" s="78" t="s">
        <v>215</v>
      </c>
      <c r="E29" s="79" t="s">
        <v>238</v>
      </c>
    </row>
    <row r="30" customFormat="false" ht="19.5" hidden="false" customHeight="true" outlineLevel="0" collapsed="false">
      <c r="A30" s="38"/>
      <c r="B30" s="73" t="s">
        <v>239</v>
      </c>
      <c r="C30" s="74" t="n">
        <v>9999</v>
      </c>
      <c r="D30" s="75" t="s">
        <v>215</v>
      </c>
      <c r="E30" s="76" t="s">
        <v>240</v>
      </c>
    </row>
    <row r="31" customFormat="false" ht="19.5" hidden="false" customHeight="true" outlineLevel="0" collapsed="false">
      <c r="A31" s="45"/>
      <c r="B31" s="77" t="s">
        <v>241</v>
      </c>
      <c r="C31" s="81" t="n">
        <v>0.5</v>
      </c>
      <c r="D31" s="78"/>
      <c r="E31" s="79" t="s">
        <v>242</v>
      </c>
    </row>
    <row r="32" customFormat="false" ht="19.5" hidden="false" customHeight="true" outlineLevel="0" collapsed="false">
      <c r="A32" s="38"/>
      <c r="B32" s="73" t="s">
        <v>243</v>
      </c>
      <c r="C32" s="81" t="n">
        <v>0.5</v>
      </c>
      <c r="D32" s="75"/>
      <c r="E32" s="76" t="s">
        <v>244</v>
      </c>
    </row>
    <row r="33" customFormat="false" ht="24" hidden="false" customHeight="true" outlineLevel="0" collapsed="false">
      <c r="A33" s="5" t="s">
        <v>245</v>
      </c>
      <c r="B33" s="5"/>
      <c r="C33" s="5"/>
      <c r="D33" s="5"/>
      <c r="E33" s="5"/>
    </row>
    <row r="34" customFormat="false" ht="19.5" hidden="false" customHeight="true" outlineLevel="0" collapsed="false">
      <c r="A34" s="45"/>
      <c r="B34" s="77" t="s">
        <v>246</v>
      </c>
      <c r="C34" s="74" t="n">
        <v>96</v>
      </c>
      <c r="D34" s="78" t="s">
        <v>192</v>
      </c>
      <c r="E34" s="79" t="s">
        <v>247</v>
      </c>
    </row>
    <row r="35" customFormat="false" ht="19.5" hidden="false" customHeight="true" outlineLevel="0" collapsed="false">
      <c r="A35" s="38"/>
      <c r="B35" s="73" t="s">
        <v>248</v>
      </c>
      <c r="C35" s="81" t="n">
        <v>0.75</v>
      </c>
      <c r="D35" s="75" t="s">
        <v>249</v>
      </c>
      <c r="E35" s="76" t="s">
        <v>250</v>
      </c>
    </row>
    <row r="36" customFormat="false" ht="24" hidden="false" customHeight="true" outlineLevel="0" collapsed="false">
      <c r="A36" s="5" t="s">
        <v>251</v>
      </c>
      <c r="B36" s="5"/>
      <c r="C36" s="5"/>
      <c r="D36" s="5"/>
      <c r="E36" s="5"/>
    </row>
    <row r="37" customFormat="false" ht="19.5" hidden="false" customHeight="true" outlineLevel="0" collapsed="false">
      <c r="A37" s="45"/>
      <c r="B37" s="77" t="s">
        <v>252</v>
      </c>
      <c r="C37" s="83" t="b">
        <f aca="false">TRUE()</f>
        <v>1</v>
      </c>
      <c r="D37" s="78" t="s">
        <v>253</v>
      </c>
      <c r="E37" s="79" t="s">
        <v>254</v>
      </c>
    </row>
    <row r="38" customFormat="false" ht="19.5" hidden="false" customHeight="true" outlineLevel="0" collapsed="false">
      <c r="A38" s="38"/>
      <c r="B38" s="73" t="s">
        <v>255</v>
      </c>
      <c r="C38" s="83" t="b">
        <f aca="false">TRUE()</f>
        <v>1</v>
      </c>
      <c r="D38" s="75" t="s">
        <v>253</v>
      </c>
      <c r="E38" s="76" t="s">
        <v>256</v>
      </c>
    </row>
    <row r="39" customFormat="false" ht="19.5" hidden="false" customHeight="true" outlineLevel="0" collapsed="false">
      <c r="A39" s="45"/>
      <c r="B39" s="77" t="s">
        <v>257</v>
      </c>
      <c r="C39" s="83" t="b">
        <f aca="false">FALSE()</f>
        <v>0</v>
      </c>
      <c r="D39" s="78" t="s">
        <v>253</v>
      </c>
      <c r="E39" s="79" t="s">
        <v>258</v>
      </c>
    </row>
    <row r="40" customFormat="false" ht="19.5" hidden="false" customHeight="true" outlineLevel="0" collapsed="false">
      <c r="A40" s="38"/>
      <c r="B40" s="73" t="s">
        <v>259</v>
      </c>
      <c r="C40" s="83" t="b">
        <f aca="false">TRUE()</f>
        <v>1</v>
      </c>
      <c r="D40" s="75" t="s">
        <v>253</v>
      </c>
      <c r="E40" s="76" t="s">
        <v>260</v>
      </c>
    </row>
    <row r="41" customFormat="false" ht="24" hidden="false" customHeight="true" outlineLevel="0" collapsed="false">
      <c r="A41" s="5" t="s">
        <v>261</v>
      </c>
      <c r="B41" s="5"/>
      <c r="C41" s="5"/>
      <c r="D41" s="5"/>
      <c r="E41" s="5"/>
    </row>
    <row r="42" customFormat="false" ht="19.5" hidden="false" customHeight="true" outlineLevel="0" collapsed="false">
      <c r="A42" s="45"/>
      <c r="B42" s="77" t="s">
        <v>262</v>
      </c>
      <c r="C42" s="74" t="n">
        <v>5</v>
      </c>
      <c r="D42" s="78" t="s">
        <v>215</v>
      </c>
      <c r="E42" s="79" t="s">
        <v>263</v>
      </c>
    </row>
    <row r="43" customFormat="false" ht="19.5" hidden="false" customHeight="true" outlineLevel="0" collapsed="false">
      <c r="A43" s="38"/>
      <c r="B43" s="73" t="s">
        <v>264</v>
      </c>
      <c r="C43" s="83" t="b">
        <f aca="false">FALSE()</f>
        <v>0</v>
      </c>
      <c r="D43" s="75" t="s">
        <v>253</v>
      </c>
      <c r="E43" s="76" t="s">
        <v>265</v>
      </c>
    </row>
    <row r="44" customFormat="false" ht="24" hidden="false" customHeight="true" outlineLevel="0" collapsed="false">
      <c r="A44" s="5" t="s">
        <v>266</v>
      </c>
      <c r="B44" s="5"/>
      <c r="C44" s="5"/>
      <c r="D44" s="5"/>
      <c r="E44" s="5"/>
    </row>
    <row r="45" customFormat="false" ht="19.5" hidden="false" customHeight="true" outlineLevel="0" collapsed="false">
      <c r="A45" s="45"/>
      <c r="B45" s="77" t="s">
        <v>267</v>
      </c>
      <c r="C45" s="83" t="b">
        <f aca="false">TRUE()</f>
        <v>1</v>
      </c>
      <c r="D45" s="84" t="s">
        <v>268</v>
      </c>
      <c r="E45" s="79" t="s">
        <v>269</v>
      </c>
    </row>
    <row r="46" customFormat="false" ht="19.5" hidden="false" customHeight="true" outlineLevel="0" collapsed="false">
      <c r="A46" s="38"/>
      <c r="B46" s="73" t="s">
        <v>270</v>
      </c>
      <c r="C46" s="81" t="n">
        <v>0.25</v>
      </c>
      <c r="D46" s="85" t="s">
        <v>271</v>
      </c>
      <c r="E46" s="76" t="s">
        <v>272</v>
      </c>
    </row>
    <row r="47" customFormat="false" ht="24" hidden="false" customHeight="true" outlineLevel="0" collapsed="false">
      <c r="A47" s="5" t="s">
        <v>273</v>
      </c>
      <c r="B47" s="5"/>
      <c r="C47" s="5"/>
      <c r="D47" s="5"/>
      <c r="E47" s="5"/>
    </row>
    <row r="48" customFormat="false" ht="19.5" hidden="false" customHeight="true" outlineLevel="0" collapsed="false">
      <c r="A48" s="45"/>
      <c r="B48" s="77" t="s">
        <v>274</v>
      </c>
      <c r="C48" s="81" t="n">
        <v>0.557</v>
      </c>
      <c r="D48" s="78" t="s">
        <v>249</v>
      </c>
      <c r="E48" s="79" t="s">
        <v>275</v>
      </c>
    </row>
    <row r="49" customFormat="false" ht="19.5" hidden="false" customHeight="true" outlineLevel="0" collapsed="false">
      <c r="A49" s="38"/>
      <c r="B49" s="73" t="s">
        <v>276</v>
      </c>
      <c r="C49" s="74" t="s">
        <v>76</v>
      </c>
      <c r="D49" s="75" t="s">
        <v>277</v>
      </c>
      <c r="E49" s="76" t="s">
        <v>278</v>
      </c>
    </row>
    <row r="50" customFormat="false" ht="19.5" hidden="false" customHeight="true" outlineLevel="0" collapsed="false">
      <c r="A50" s="45"/>
      <c r="B50" s="77" t="s">
        <v>279</v>
      </c>
      <c r="C50" s="74" t="n">
        <v>0</v>
      </c>
      <c r="D50" s="78" t="s">
        <v>249</v>
      </c>
      <c r="E50" s="79" t="s">
        <v>280</v>
      </c>
    </row>
    <row r="51" customFormat="false" ht="19.5" hidden="false" customHeight="true" outlineLevel="0" collapsed="false">
      <c r="A51" s="38"/>
      <c r="B51" s="73" t="s">
        <v>281</v>
      </c>
      <c r="C51" s="81" t="n">
        <v>-2.13</v>
      </c>
      <c r="D51" s="75" t="s">
        <v>215</v>
      </c>
      <c r="E51" s="76" t="s">
        <v>282</v>
      </c>
    </row>
    <row r="52" customFormat="false" ht="19.5" hidden="false" customHeight="true" outlineLevel="0" collapsed="false">
      <c r="A52" s="45"/>
      <c r="B52" s="77" t="s">
        <v>283</v>
      </c>
      <c r="C52" s="81" t="n">
        <v>36.5</v>
      </c>
      <c r="D52" s="78" t="s">
        <v>215</v>
      </c>
      <c r="E52" s="79" t="s">
        <v>284</v>
      </c>
    </row>
    <row r="53" customFormat="false" ht="19.5" hidden="false" customHeight="true" outlineLevel="0" collapsed="false">
      <c r="A53" s="38"/>
      <c r="B53" s="73" t="s">
        <v>285</v>
      </c>
      <c r="C53" s="81" t="n">
        <v>17.97</v>
      </c>
      <c r="D53" s="75" t="s">
        <v>215</v>
      </c>
      <c r="E53" s="76" t="s">
        <v>286</v>
      </c>
    </row>
    <row r="54" customFormat="false" ht="24" hidden="false" customHeight="true" outlineLevel="0" collapsed="false">
      <c r="A54" s="5" t="s">
        <v>287</v>
      </c>
      <c r="B54" s="5"/>
      <c r="C54" s="5"/>
      <c r="D54" s="5"/>
      <c r="E54" s="5"/>
    </row>
    <row r="55" customFormat="false" ht="19.5" hidden="false" customHeight="true" outlineLevel="0" collapsed="false">
      <c r="A55" s="45"/>
      <c r="B55" s="77" t="s">
        <v>288</v>
      </c>
      <c r="C55" s="74" t="n">
        <v>50</v>
      </c>
      <c r="D55" s="78" t="s">
        <v>289</v>
      </c>
      <c r="E55" s="79" t="s">
        <v>290</v>
      </c>
    </row>
    <row r="56" customFormat="false" ht="19.5" hidden="false" customHeight="true" outlineLevel="0" collapsed="false">
      <c r="A56" s="38"/>
      <c r="B56" s="73" t="s">
        <v>291</v>
      </c>
      <c r="C56" s="74" t="n">
        <v>1386</v>
      </c>
      <c r="D56" s="75"/>
      <c r="E56" s="76" t="s">
        <v>292</v>
      </c>
    </row>
    <row r="57" customFormat="false" ht="15" hidden="false" customHeight="true" outlineLevel="0" collapsed="false">
      <c r="B57" s="1" t="s">
        <v>293</v>
      </c>
      <c r="C57" s="1" t="n">
        <v>108</v>
      </c>
      <c r="D57" s="1" t="s">
        <v>294</v>
      </c>
      <c r="E57" s="1" t="s">
        <v>295</v>
      </c>
    </row>
  </sheetData>
  <mergeCells count="13">
    <mergeCell ref="A1:E1"/>
    <mergeCell ref="A2:E2"/>
    <mergeCell ref="A5:E5"/>
    <mergeCell ref="A11:E11"/>
    <mergeCell ref="A14:E14"/>
    <mergeCell ref="A20:E20"/>
    <mergeCell ref="A26:E26"/>
    <mergeCell ref="A33:E33"/>
    <mergeCell ref="A36:E36"/>
    <mergeCell ref="A41:E41"/>
    <mergeCell ref="A44:E44"/>
    <mergeCell ref="A47:E47"/>
    <mergeCell ref="A54:E54"/>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2B788"/>
    <pageSetUpPr fitToPage="true"/>
  </sheetPr>
  <dimension ref="A1:M1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3" min="2" style="1" width="8"/>
    <col collapsed="false" customWidth="true" hidden="false" outlineLevel="0" max="4" min="4" style="1" width="12"/>
    <col collapsed="false" customWidth="true" hidden="false" outlineLevel="0" max="7" min="5" style="1" width="10"/>
    <col collapsed="false" customWidth="true" hidden="false" outlineLevel="0" max="8" min="8" style="1" width="12"/>
    <col collapsed="false" customWidth="true" hidden="false" outlineLevel="0" max="10" min="9" style="1" width="10"/>
    <col collapsed="false" customWidth="true" hidden="false" outlineLevel="0" max="12" min="11" style="1" width="14"/>
    <col collapsed="false" customWidth="true" hidden="false" outlineLevel="0" max="13" min="13" style="1" width="8"/>
  </cols>
  <sheetData>
    <row r="1" customFormat="false" ht="36" hidden="false" customHeight="true" outlineLevel="0" collapsed="false">
      <c r="A1" s="2" t="s">
        <v>296</v>
      </c>
      <c r="B1" s="2"/>
      <c r="C1" s="2"/>
      <c r="D1" s="2"/>
      <c r="E1" s="2"/>
      <c r="F1" s="2"/>
      <c r="G1" s="2"/>
      <c r="H1" s="2"/>
      <c r="I1" s="2"/>
      <c r="J1" s="2"/>
      <c r="K1" s="2"/>
    </row>
    <row r="2" customFormat="false" ht="18" hidden="false" customHeight="true" outlineLevel="0" collapsed="false">
      <c r="A2" s="3" t="s">
        <v>297</v>
      </c>
      <c r="B2" s="3"/>
      <c r="C2" s="3"/>
      <c r="D2" s="3"/>
      <c r="E2" s="3"/>
      <c r="F2" s="3"/>
      <c r="G2" s="3"/>
      <c r="H2" s="3"/>
      <c r="I2" s="3"/>
      <c r="J2" s="3"/>
      <c r="K2" s="3"/>
      <c r="L2" s="52" t="s">
        <v>298</v>
      </c>
      <c r="M2" s="86" t="n">
        <f aca="false">MATCH(1,J65:J112,0)+60</f>
        <v>84</v>
      </c>
    </row>
    <row r="3" customFormat="false" ht="3.75" hidden="false" customHeight="true" outlineLevel="0" collapsed="false">
      <c r="A3" s="4"/>
      <c r="B3" s="4"/>
      <c r="C3" s="4"/>
      <c r="D3" s="4"/>
      <c r="E3" s="4"/>
      <c r="F3" s="4"/>
      <c r="G3" s="4"/>
      <c r="H3" s="4"/>
      <c r="I3" s="4"/>
      <c r="J3" s="4"/>
      <c r="K3" s="4"/>
    </row>
    <row r="4" customFormat="false" ht="21.75" hidden="false" customHeight="true" outlineLevel="0" collapsed="false">
      <c r="A4" s="37" t="s">
        <v>299</v>
      </c>
      <c r="B4" s="37" t="s">
        <v>300</v>
      </c>
      <c r="C4" s="37" t="s">
        <v>301</v>
      </c>
      <c r="D4" s="37" t="s">
        <v>302</v>
      </c>
      <c r="E4" s="37" t="s">
        <v>303</v>
      </c>
      <c r="F4" s="37" t="s">
        <v>304</v>
      </c>
      <c r="G4" s="37" t="s">
        <v>305</v>
      </c>
      <c r="H4" s="37" t="s">
        <v>306</v>
      </c>
      <c r="I4" s="37" t="s">
        <v>307</v>
      </c>
      <c r="J4" s="37" t="s">
        <v>308</v>
      </c>
      <c r="K4" s="37" t="s">
        <v>309</v>
      </c>
    </row>
    <row r="5" customFormat="false" ht="15" hidden="false" customHeight="true" outlineLevel="0" collapsed="false">
      <c r="A5" s="87" t="n">
        <v>1</v>
      </c>
      <c r="B5" s="88" t="n">
        <f aca="false">INT(($A5-1)/DaysPerMonth)+1</f>
        <v>1</v>
      </c>
      <c r="C5" s="88" t="str">
        <f aca="false">MOD($A5-1,DaysPerMonth)+1&amp;" "&amp;CHOOSE($B5,"Jan","Feb","Mar","Apr","May","Jun","Jul","Aug","Sep","Oct","Nov","Dec")</f>
        <v>1 Jan</v>
      </c>
      <c r="D5" s="89" t="n">
        <v>-17.01</v>
      </c>
      <c r="E5" s="89" t="n">
        <v>-25.48</v>
      </c>
      <c r="F5" s="89" t="n">
        <v>-8.45</v>
      </c>
      <c r="G5" s="90" t="n">
        <f aca="false">D5+GHBonus</f>
        <v>-12.01</v>
      </c>
      <c r="H5" s="90" t="n">
        <f aca="false">E5+GHBonus</f>
        <v>-20.48</v>
      </c>
      <c r="I5" s="90" t="n">
        <f aca="false">F5+GHBonus</f>
        <v>-3.45</v>
      </c>
      <c r="J5" s="91" t="n">
        <f aca="false">IF(D5&lt;=0,1,0)</f>
        <v>1</v>
      </c>
      <c r="K5" s="87" t="str">
        <f aca="false">IF($F5&gt;25,"yes","")</f>
        <v/>
      </c>
    </row>
    <row r="6" customFormat="false" ht="15" hidden="false" customHeight="true" outlineLevel="0" collapsed="false">
      <c r="A6" s="87" t="n">
        <v>2</v>
      </c>
      <c r="B6" s="88" t="n">
        <f aca="false">INT(($A6-1)/DaysPerMonth)+1</f>
        <v>1</v>
      </c>
      <c r="C6" s="88" t="str">
        <f aca="false">MOD($A6-1,DaysPerMonth)+1&amp;" "&amp;CHOOSE($B6,"Jan","Feb","Mar","Apr","May","Jun","Jul","Aug","Sep","Oct","Nov","Dec")</f>
        <v>2 Jan</v>
      </c>
      <c r="D6" s="89" t="n">
        <v>-18.17</v>
      </c>
      <c r="E6" s="89" t="n">
        <v>-27.55</v>
      </c>
      <c r="F6" s="89" t="n">
        <v>-8.88</v>
      </c>
      <c r="G6" s="90" t="n">
        <f aca="false">D6+GHBonus</f>
        <v>-13.17</v>
      </c>
      <c r="H6" s="90" t="n">
        <f aca="false">E6+GHBonus</f>
        <v>-22.55</v>
      </c>
      <c r="I6" s="90" t="n">
        <f aca="false">F6+GHBonus</f>
        <v>-3.88</v>
      </c>
      <c r="J6" s="92" t="n">
        <f aca="false">IF(D6&lt;=0,1,0)</f>
        <v>1</v>
      </c>
      <c r="K6" s="87" t="str">
        <f aca="false">IF($F6&gt;25,"yes","")</f>
        <v/>
      </c>
    </row>
    <row r="7" customFormat="false" ht="15" hidden="false" customHeight="true" outlineLevel="0" collapsed="false">
      <c r="A7" s="87" t="n">
        <v>3</v>
      </c>
      <c r="B7" s="88" t="n">
        <f aca="false">INT(($A7-1)/DaysPerMonth)+1</f>
        <v>1</v>
      </c>
      <c r="C7" s="88" t="str">
        <f aca="false">MOD($A7-1,DaysPerMonth)+1&amp;" "&amp;CHOOSE($B7,"Jan","Feb","Mar","Apr","May","Jun","Jul","Aug","Sep","Oct","Nov","Dec")</f>
        <v>3 Jan</v>
      </c>
      <c r="D7" s="89" t="n">
        <v>-17.34</v>
      </c>
      <c r="E7" s="89" t="n">
        <v>-26.97</v>
      </c>
      <c r="F7" s="89" t="n">
        <v>-7.68</v>
      </c>
      <c r="G7" s="90" t="n">
        <f aca="false">D7+GHBonus</f>
        <v>-12.34</v>
      </c>
      <c r="H7" s="90" t="n">
        <f aca="false">E7+GHBonus</f>
        <v>-21.97</v>
      </c>
      <c r="I7" s="90" t="n">
        <f aca="false">F7+GHBonus</f>
        <v>-2.68</v>
      </c>
      <c r="J7" s="91" t="n">
        <f aca="false">IF(D7&lt;=0,1,0)</f>
        <v>1</v>
      </c>
      <c r="K7" s="87" t="str">
        <f aca="false">IF($F7&gt;25,"yes","")</f>
        <v/>
      </c>
    </row>
    <row r="8" customFormat="false" ht="15" hidden="false" customHeight="true" outlineLevel="0" collapsed="false">
      <c r="A8" s="87" t="n">
        <v>4</v>
      </c>
      <c r="B8" s="88" t="n">
        <f aca="false">INT(($A8-1)/DaysPerMonth)+1</f>
        <v>1</v>
      </c>
      <c r="C8" s="88" t="str">
        <f aca="false">MOD($A8-1,DaysPerMonth)+1&amp;" "&amp;CHOOSE($B8,"Jan","Feb","Mar","Apr","May","Jun","Jul","Aug","Sep","Oct","Nov","Dec")</f>
        <v>4 Jan</v>
      </c>
      <c r="D8" s="89" t="n">
        <v>-18.42</v>
      </c>
      <c r="E8" s="89" t="n">
        <v>-27.95</v>
      </c>
      <c r="F8" s="89" t="n">
        <v>-8.92</v>
      </c>
      <c r="G8" s="90" t="n">
        <f aca="false">D8+GHBonus</f>
        <v>-13.42</v>
      </c>
      <c r="H8" s="90" t="n">
        <f aca="false">E8+GHBonus</f>
        <v>-22.95</v>
      </c>
      <c r="I8" s="90" t="n">
        <f aca="false">F8+GHBonus</f>
        <v>-3.92</v>
      </c>
      <c r="J8" s="92" t="n">
        <f aca="false">IF(D8&lt;=0,1,0)</f>
        <v>1</v>
      </c>
      <c r="K8" s="87" t="str">
        <f aca="false">IF($F8&gt;25,"yes","")</f>
        <v/>
      </c>
    </row>
    <row r="9" customFormat="false" ht="15" hidden="false" customHeight="true" outlineLevel="0" collapsed="false">
      <c r="A9" s="87" t="n">
        <v>5</v>
      </c>
      <c r="B9" s="88" t="n">
        <f aca="false">INT(($A9-1)/DaysPerMonth)+1</f>
        <v>1</v>
      </c>
      <c r="C9" s="88" t="str">
        <f aca="false">MOD($A9-1,DaysPerMonth)+1&amp;" "&amp;CHOOSE($B9,"Jan","Feb","Mar","Apr","May","Jun","Jul","Aug","Sep","Oct","Nov","Dec")</f>
        <v>5 Jan</v>
      </c>
      <c r="D9" s="89" t="n">
        <v>-17.73</v>
      </c>
      <c r="E9" s="89" t="n">
        <v>-26.58</v>
      </c>
      <c r="F9" s="89" t="n">
        <v>-9.53</v>
      </c>
      <c r="G9" s="90" t="n">
        <f aca="false">D9+GHBonus</f>
        <v>-12.73</v>
      </c>
      <c r="H9" s="90" t="n">
        <f aca="false">E9+GHBonus</f>
        <v>-21.58</v>
      </c>
      <c r="I9" s="90" t="n">
        <f aca="false">F9+GHBonus</f>
        <v>-4.53</v>
      </c>
      <c r="J9" s="91" t="n">
        <f aca="false">IF(D9&lt;=0,1,0)</f>
        <v>1</v>
      </c>
      <c r="K9" s="87" t="str">
        <f aca="false">IF($F9&gt;25,"yes","")</f>
        <v/>
      </c>
    </row>
    <row r="10" customFormat="false" ht="15" hidden="false" customHeight="true" outlineLevel="0" collapsed="false">
      <c r="A10" s="87" t="n">
        <v>6</v>
      </c>
      <c r="B10" s="88" t="n">
        <f aca="false">INT(($A10-1)/DaysPerMonth)+1</f>
        <v>1</v>
      </c>
      <c r="C10" s="88" t="str">
        <f aca="false">MOD($A10-1,DaysPerMonth)+1&amp;" "&amp;CHOOSE($B10,"Jan","Feb","Mar","Apr","May","Jun","Jul","Aug","Sep","Oct","Nov","Dec")</f>
        <v>6 Jan</v>
      </c>
      <c r="D10" s="89" t="n">
        <v>-17.81</v>
      </c>
      <c r="E10" s="89" t="n">
        <v>-26.74</v>
      </c>
      <c r="F10" s="89" t="n">
        <v>-9.06</v>
      </c>
      <c r="G10" s="90" t="n">
        <f aca="false">D10+GHBonus</f>
        <v>-12.81</v>
      </c>
      <c r="H10" s="90" t="n">
        <f aca="false">E10+GHBonus</f>
        <v>-21.74</v>
      </c>
      <c r="I10" s="90" t="n">
        <f aca="false">F10+GHBonus</f>
        <v>-4.06</v>
      </c>
      <c r="J10" s="92" t="n">
        <f aca="false">IF(D10&lt;=0,1,0)</f>
        <v>1</v>
      </c>
      <c r="K10" s="87" t="str">
        <f aca="false">IF($F10&gt;25,"yes","")</f>
        <v/>
      </c>
    </row>
    <row r="11" customFormat="false" ht="15" hidden="false" customHeight="true" outlineLevel="0" collapsed="false">
      <c r="A11" s="87" t="n">
        <v>7</v>
      </c>
      <c r="B11" s="88" t="n">
        <f aca="false">INT(($A11-1)/DaysPerMonth)+1</f>
        <v>1</v>
      </c>
      <c r="C11" s="88" t="str">
        <f aca="false">MOD($A11-1,DaysPerMonth)+1&amp;" "&amp;CHOOSE($B11,"Jan","Feb","Mar","Apr","May","Jun","Jul","Aug","Sep","Oct","Nov","Dec")</f>
        <v>7 Jan</v>
      </c>
      <c r="D11" s="89" t="n">
        <v>-18.18</v>
      </c>
      <c r="E11" s="89" t="n">
        <v>-27.61</v>
      </c>
      <c r="F11" s="89" t="n">
        <v>-8.63</v>
      </c>
      <c r="G11" s="90" t="n">
        <f aca="false">D11+GHBonus</f>
        <v>-13.18</v>
      </c>
      <c r="H11" s="90" t="n">
        <f aca="false">E11+GHBonus</f>
        <v>-22.61</v>
      </c>
      <c r="I11" s="90" t="n">
        <f aca="false">F11+GHBonus</f>
        <v>-3.63</v>
      </c>
      <c r="J11" s="91" t="n">
        <f aca="false">IF(D11&lt;=0,1,0)</f>
        <v>1</v>
      </c>
      <c r="K11" s="87" t="str">
        <f aca="false">IF($F11&gt;25,"yes","")</f>
        <v/>
      </c>
    </row>
    <row r="12" customFormat="false" ht="15" hidden="false" customHeight="true" outlineLevel="0" collapsed="false">
      <c r="A12" s="87" t="n">
        <v>8</v>
      </c>
      <c r="B12" s="88" t="n">
        <f aca="false">INT(($A12-1)/DaysPerMonth)+1</f>
        <v>1</v>
      </c>
      <c r="C12" s="88" t="str">
        <f aca="false">MOD($A12-1,DaysPerMonth)+1&amp;" "&amp;CHOOSE($B12,"Jan","Feb","Mar","Apr","May","Jun","Jul","Aug","Sep","Oct","Nov","Dec")</f>
        <v>8 Jan</v>
      </c>
      <c r="D12" s="89" t="n">
        <v>-17.15</v>
      </c>
      <c r="E12" s="89" t="n">
        <v>-26.21</v>
      </c>
      <c r="F12" s="89" t="n">
        <v>-7.77</v>
      </c>
      <c r="G12" s="90" t="n">
        <f aca="false">D12+GHBonus</f>
        <v>-12.15</v>
      </c>
      <c r="H12" s="90" t="n">
        <f aca="false">E12+GHBonus</f>
        <v>-21.21</v>
      </c>
      <c r="I12" s="90" t="n">
        <f aca="false">F12+GHBonus</f>
        <v>-2.77</v>
      </c>
      <c r="J12" s="92" t="n">
        <f aca="false">IF(D12&lt;=0,1,0)</f>
        <v>1</v>
      </c>
      <c r="K12" s="87" t="str">
        <f aca="false">IF($F12&gt;25,"yes","")</f>
        <v/>
      </c>
    </row>
    <row r="13" customFormat="false" ht="15" hidden="false" customHeight="true" outlineLevel="0" collapsed="false">
      <c r="A13" s="87" t="n">
        <v>9</v>
      </c>
      <c r="B13" s="88" t="n">
        <f aca="false">INT(($A13-1)/DaysPerMonth)+1</f>
        <v>1</v>
      </c>
      <c r="C13" s="88" t="str">
        <f aca="false">MOD($A13-1,DaysPerMonth)+1&amp;" "&amp;CHOOSE($B13,"Jan","Feb","Mar","Apr","May","Jun","Jul","Aug","Sep","Oct","Nov","Dec")</f>
        <v>9 Jan</v>
      </c>
      <c r="D13" s="89" t="n">
        <v>-17.4</v>
      </c>
      <c r="E13" s="89" t="n">
        <v>-26.57</v>
      </c>
      <c r="F13" s="89" t="n">
        <v>-8.35</v>
      </c>
      <c r="G13" s="90" t="n">
        <f aca="false">D13+GHBonus</f>
        <v>-12.4</v>
      </c>
      <c r="H13" s="90" t="n">
        <f aca="false">E13+GHBonus</f>
        <v>-21.57</v>
      </c>
      <c r="I13" s="90" t="n">
        <f aca="false">F13+GHBonus</f>
        <v>-3.35</v>
      </c>
      <c r="J13" s="91" t="n">
        <f aca="false">IF(D13&lt;=0,1,0)</f>
        <v>1</v>
      </c>
      <c r="K13" s="87" t="str">
        <f aca="false">IF($F13&gt;25,"yes","")</f>
        <v/>
      </c>
    </row>
    <row r="14" customFormat="false" ht="15" hidden="false" customHeight="true" outlineLevel="0" collapsed="false">
      <c r="A14" s="87" t="n">
        <v>10</v>
      </c>
      <c r="B14" s="88" t="n">
        <f aca="false">INT(($A14-1)/DaysPerMonth)+1</f>
        <v>2</v>
      </c>
      <c r="C14" s="88" t="str">
        <f aca="false">MOD($A14-1,DaysPerMonth)+1&amp;" "&amp;CHOOSE($B14,"Jan","Feb","Mar","Apr","May","Jun","Jul","Aug","Sep","Oct","Nov","Dec")</f>
        <v>1 Feb</v>
      </c>
      <c r="D14" s="89" t="n">
        <v>-17.41</v>
      </c>
      <c r="E14" s="89" t="n">
        <v>-26.24</v>
      </c>
      <c r="F14" s="89" t="n">
        <v>-8.62</v>
      </c>
      <c r="G14" s="90" t="n">
        <f aca="false">D14+GHBonus</f>
        <v>-12.41</v>
      </c>
      <c r="H14" s="90" t="n">
        <f aca="false">E14+GHBonus</f>
        <v>-21.24</v>
      </c>
      <c r="I14" s="90" t="n">
        <f aca="false">F14+GHBonus</f>
        <v>-3.62</v>
      </c>
      <c r="J14" s="92" t="n">
        <f aca="false">IF(D14&lt;=0,1,0)</f>
        <v>1</v>
      </c>
      <c r="K14" s="87" t="str">
        <f aca="false">IF($F14&gt;25,"yes","")</f>
        <v/>
      </c>
    </row>
    <row r="15" customFormat="false" ht="15" hidden="false" customHeight="true" outlineLevel="0" collapsed="false">
      <c r="A15" s="87" t="n">
        <v>11</v>
      </c>
      <c r="B15" s="88" t="n">
        <f aca="false">INT(($A15-1)/DaysPerMonth)+1</f>
        <v>2</v>
      </c>
      <c r="C15" s="88" t="str">
        <f aca="false">MOD($A15-1,DaysPerMonth)+1&amp;" "&amp;CHOOSE($B15,"Jan","Feb","Mar","Apr","May","Jun","Jul","Aug","Sep","Oct","Nov","Dec")</f>
        <v>2 Feb</v>
      </c>
      <c r="D15" s="89" t="n">
        <v>-18</v>
      </c>
      <c r="E15" s="89" t="n">
        <v>-26.84</v>
      </c>
      <c r="F15" s="89" t="n">
        <v>-8.69</v>
      </c>
      <c r="G15" s="90" t="n">
        <f aca="false">D15+GHBonus</f>
        <v>-13</v>
      </c>
      <c r="H15" s="90" t="n">
        <f aca="false">E15+GHBonus</f>
        <v>-21.84</v>
      </c>
      <c r="I15" s="90" t="n">
        <f aca="false">F15+GHBonus</f>
        <v>-3.69</v>
      </c>
      <c r="J15" s="91" t="n">
        <f aca="false">IF(D15&lt;=0,1,0)</f>
        <v>1</v>
      </c>
      <c r="K15" s="87" t="str">
        <f aca="false">IF($F15&gt;25,"yes","")</f>
        <v/>
      </c>
    </row>
    <row r="16" customFormat="false" ht="15" hidden="false" customHeight="true" outlineLevel="0" collapsed="false">
      <c r="A16" s="87" t="n">
        <v>12</v>
      </c>
      <c r="B16" s="88" t="n">
        <f aca="false">INT(($A16-1)/DaysPerMonth)+1</f>
        <v>2</v>
      </c>
      <c r="C16" s="88" t="str">
        <f aca="false">MOD($A16-1,DaysPerMonth)+1&amp;" "&amp;CHOOSE($B16,"Jan","Feb","Mar","Apr","May","Jun","Jul","Aug","Sep","Oct","Nov","Dec")</f>
        <v>3 Feb</v>
      </c>
      <c r="D16" s="89" t="n">
        <v>-17.69</v>
      </c>
      <c r="E16" s="89" t="n">
        <v>-26.29</v>
      </c>
      <c r="F16" s="89" t="n">
        <v>-9.06</v>
      </c>
      <c r="G16" s="90" t="n">
        <f aca="false">D16+GHBonus</f>
        <v>-12.69</v>
      </c>
      <c r="H16" s="90" t="n">
        <f aca="false">E16+GHBonus</f>
        <v>-21.29</v>
      </c>
      <c r="I16" s="90" t="n">
        <f aca="false">F16+GHBonus</f>
        <v>-4.06</v>
      </c>
      <c r="J16" s="92" t="n">
        <f aca="false">IF(D16&lt;=0,1,0)</f>
        <v>1</v>
      </c>
      <c r="K16" s="87" t="str">
        <f aca="false">IF($F16&gt;25,"yes","")</f>
        <v/>
      </c>
    </row>
    <row r="17" customFormat="false" ht="15" hidden="false" customHeight="true" outlineLevel="0" collapsed="false">
      <c r="A17" s="87" t="n">
        <v>13</v>
      </c>
      <c r="B17" s="88" t="n">
        <f aca="false">INT(($A17-1)/DaysPerMonth)+1</f>
        <v>2</v>
      </c>
      <c r="C17" s="88" t="str">
        <f aca="false">MOD($A17-1,DaysPerMonth)+1&amp;" "&amp;CHOOSE($B17,"Jan","Feb","Mar","Apr","May","Jun","Jul","Aug","Sep","Oct","Nov","Dec")</f>
        <v>4 Feb</v>
      </c>
      <c r="D17" s="89" t="n">
        <v>-17.63</v>
      </c>
      <c r="E17" s="89" t="n">
        <v>-26.33</v>
      </c>
      <c r="F17" s="89" t="n">
        <v>-8.87</v>
      </c>
      <c r="G17" s="90" t="n">
        <f aca="false">D17+GHBonus</f>
        <v>-12.63</v>
      </c>
      <c r="H17" s="90" t="n">
        <f aca="false">E17+GHBonus</f>
        <v>-21.33</v>
      </c>
      <c r="I17" s="90" t="n">
        <f aca="false">F17+GHBonus</f>
        <v>-3.87</v>
      </c>
      <c r="J17" s="91" t="n">
        <f aca="false">IF(D17&lt;=0,1,0)</f>
        <v>1</v>
      </c>
      <c r="K17" s="87" t="str">
        <f aca="false">IF($F17&gt;25,"yes","")</f>
        <v/>
      </c>
    </row>
    <row r="18" customFormat="false" ht="15" hidden="false" customHeight="true" outlineLevel="0" collapsed="false">
      <c r="A18" s="87" t="n">
        <v>14</v>
      </c>
      <c r="B18" s="88" t="n">
        <f aca="false">INT(($A18-1)/DaysPerMonth)+1</f>
        <v>2</v>
      </c>
      <c r="C18" s="88" t="str">
        <f aca="false">MOD($A18-1,DaysPerMonth)+1&amp;" "&amp;CHOOSE($B18,"Jan","Feb","Mar","Apr","May","Jun","Jul","Aug","Sep","Oct","Nov","Dec")</f>
        <v>5 Feb</v>
      </c>
      <c r="D18" s="89" t="n">
        <v>-16.85</v>
      </c>
      <c r="E18" s="89" t="n">
        <v>-25.42</v>
      </c>
      <c r="F18" s="89" t="n">
        <v>-8.87</v>
      </c>
      <c r="G18" s="90" t="n">
        <f aca="false">D18+GHBonus</f>
        <v>-11.85</v>
      </c>
      <c r="H18" s="90" t="n">
        <f aca="false">E18+GHBonus</f>
        <v>-20.42</v>
      </c>
      <c r="I18" s="90" t="n">
        <f aca="false">F18+GHBonus</f>
        <v>-3.87</v>
      </c>
      <c r="J18" s="92" t="n">
        <f aca="false">IF(D18&lt;=0,1,0)</f>
        <v>1</v>
      </c>
      <c r="K18" s="87" t="str">
        <f aca="false">IF($F18&gt;25,"yes","")</f>
        <v/>
      </c>
    </row>
    <row r="19" customFormat="false" ht="15" hidden="false" customHeight="true" outlineLevel="0" collapsed="false">
      <c r="A19" s="87" t="n">
        <v>15</v>
      </c>
      <c r="B19" s="88" t="n">
        <f aca="false">INT(($A19-1)/DaysPerMonth)+1</f>
        <v>2</v>
      </c>
      <c r="C19" s="88" t="str">
        <f aca="false">MOD($A19-1,DaysPerMonth)+1&amp;" "&amp;CHOOSE($B19,"Jan","Feb","Mar","Apr","May","Jun","Jul","Aug","Sep","Oct","Nov","Dec")</f>
        <v>6 Feb</v>
      </c>
      <c r="D19" s="89" t="n">
        <v>-16.46</v>
      </c>
      <c r="E19" s="89" t="n">
        <v>-24.7</v>
      </c>
      <c r="F19" s="89" t="n">
        <v>-8.07</v>
      </c>
      <c r="G19" s="90" t="n">
        <f aca="false">D19+GHBonus</f>
        <v>-11.46</v>
      </c>
      <c r="H19" s="90" t="n">
        <f aca="false">E19+GHBonus</f>
        <v>-19.7</v>
      </c>
      <c r="I19" s="90" t="n">
        <f aca="false">F19+GHBonus</f>
        <v>-3.07</v>
      </c>
      <c r="J19" s="91" t="n">
        <f aca="false">IF(D19&lt;=0,1,0)</f>
        <v>1</v>
      </c>
      <c r="K19" s="87" t="str">
        <f aca="false">IF($F19&gt;25,"yes","")</f>
        <v/>
      </c>
    </row>
    <row r="20" customFormat="false" ht="15" hidden="false" customHeight="true" outlineLevel="0" collapsed="false">
      <c r="A20" s="87" t="n">
        <v>16</v>
      </c>
      <c r="B20" s="88" t="n">
        <f aca="false">INT(($A20-1)/DaysPerMonth)+1</f>
        <v>2</v>
      </c>
      <c r="C20" s="88" t="str">
        <f aca="false">MOD($A20-1,DaysPerMonth)+1&amp;" "&amp;CHOOSE($B20,"Jan","Feb","Mar","Apr","May","Jun","Jul","Aug","Sep","Oct","Nov","Dec")</f>
        <v>7 Feb</v>
      </c>
      <c r="D20" s="89" t="n">
        <v>-16.24</v>
      </c>
      <c r="E20" s="89" t="n">
        <v>-26.16</v>
      </c>
      <c r="F20" s="89" t="n">
        <v>-6.47</v>
      </c>
      <c r="G20" s="90" t="n">
        <f aca="false">D20+GHBonus</f>
        <v>-11.24</v>
      </c>
      <c r="H20" s="90" t="n">
        <f aca="false">E20+GHBonus</f>
        <v>-21.16</v>
      </c>
      <c r="I20" s="90" t="n">
        <f aca="false">F20+GHBonus</f>
        <v>-1.47</v>
      </c>
      <c r="J20" s="92" t="n">
        <f aca="false">IF(D20&lt;=0,1,0)</f>
        <v>1</v>
      </c>
      <c r="K20" s="87" t="str">
        <f aca="false">IF($F20&gt;25,"yes","")</f>
        <v/>
      </c>
    </row>
    <row r="21" customFormat="false" ht="15" hidden="false" customHeight="true" outlineLevel="0" collapsed="false">
      <c r="A21" s="87" t="n">
        <v>17</v>
      </c>
      <c r="B21" s="88" t="n">
        <f aca="false">INT(($A21-1)/DaysPerMonth)+1</f>
        <v>2</v>
      </c>
      <c r="C21" s="88" t="str">
        <f aca="false">MOD($A21-1,DaysPerMonth)+1&amp;" "&amp;CHOOSE($B21,"Jan","Feb","Mar","Apr","May","Jun","Jul","Aug","Sep","Oct","Nov","Dec")</f>
        <v>8 Feb</v>
      </c>
      <c r="D21" s="89" t="n">
        <v>-15.33</v>
      </c>
      <c r="E21" s="89" t="n">
        <v>-24.16</v>
      </c>
      <c r="F21" s="89" t="n">
        <v>-6.23</v>
      </c>
      <c r="G21" s="90" t="n">
        <f aca="false">D21+GHBonus</f>
        <v>-10.33</v>
      </c>
      <c r="H21" s="90" t="n">
        <f aca="false">E21+GHBonus</f>
        <v>-19.16</v>
      </c>
      <c r="I21" s="90" t="n">
        <f aca="false">F21+GHBonus</f>
        <v>-1.23</v>
      </c>
      <c r="J21" s="91" t="n">
        <f aca="false">IF(D21&lt;=0,1,0)</f>
        <v>1</v>
      </c>
      <c r="K21" s="87" t="str">
        <f aca="false">IF($F21&gt;25,"yes","")</f>
        <v/>
      </c>
    </row>
    <row r="22" customFormat="false" ht="15" hidden="false" customHeight="true" outlineLevel="0" collapsed="false">
      <c r="A22" s="87" t="n">
        <v>18</v>
      </c>
      <c r="B22" s="88" t="n">
        <f aca="false">INT(($A22-1)/DaysPerMonth)+1</f>
        <v>2</v>
      </c>
      <c r="C22" s="88" t="str">
        <f aca="false">MOD($A22-1,DaysPerMonth)+1&amp;" "&amp;CHOOSE($B22,"Jan","Feb","Mar","Apr","May","Jun","Jul","Aug","Sep","Oct","Nov","Dec")</f>
        <v>9 Feb</v>
      </c>
      <c r="D22" s="89" t="n">
        <v>-14.66</v>
      </c>
      <c r="E22" s="89" t="n">
        <v>-24.12</v>
      </c>
      <c r="F22" s="89" t="n">
        <v>-5.18</v>
      </c>
      <c r="G22" s="90" t="n">
        <f aca="false">D22+GHBonus</f>
        <v>-9.66</v>
      </c>
      <c r="H22" s="90" t="n">
        <f aca="false">E22+GHBonus</f>
        <v>-19.12</v>
      </c>
      <c r="I22" s="90" t="n">
        <f aca="false">F22+GHBonus</f>
        <v>-0.18</v>
      </c>
      <c r="J22" s="92" t="n">
        <f aca="false">IF(D22&lt;=0,1,0)</f>
        <v>1</v>
      </c>
      <c r="K22" s="87" t="str">
        <f aca="false">IF($F22&gt;25,"yes","")</f>
        <v/>
      </c>
    </row>
    <row r="23" customFormat="false" ht="15" hidden="false" customHeight="true" outlineLevel="0" collapsed="false">
      <c r="A23" s="87" t="n">
        <v>19</v>
      </c>
      <c r="B23" s="88" t="n">
        <f aca="false">INT(($A23-1)/DaysPerMonth)+1</f>
        <v>3</v>
      </c>
      <c r="C23" s="88" t="str">
        <f aca="false">MOD($A23-1,DaysPerMonth)+1&amp;" "&amp;CHOOSE($B23,"Jan","Feb","Mar","Apr","May","Jun","Jul","Aug","Sep","Oct","Nov","Dec")</f>
        <v>1 Mar</v>
      </c>
      <c r="D23" s="89" t="n">
        <v>-14.44</v>
      </c>
      <c r="E23" s="89" t="n">
        <v>-23.53</v>
      </c>
      <c r="F23" s="89" t="n">
        <v>-5.5</v>
      </c>
      <c r="G23" s="90" t="n">
        <f aca="false">D23+GHBonus</f>
        <v>-9.44</v>
      </c>
      <c r="H23" s="90" t="n">
        <f aca="false">E23+GHBonus</f>
        <v>-18.53</v>
      </c>
      <c r="I23" s="90" t="n">
        <f aca="false">F23+GHBonus</f>
        <v>-0.5</v>
      </c>
      <c r="J23" s="91" t="n">
        <f aca="false">IF(D23&lt;=0,1,0)</f>
        <v>1</v>
      </c>
      <c r="K23" s="87" t="str">
        <f aca="false">IF($F23&gt;25,"yes","")</f>
        <v/>
      </c>
    </row>
    <row r="24" customFormat="false" ht="15" hidden="false" customHeight="true" outlineLevel="0" collapsed="false">
      <c r="A24" s="87" t="n">
        <v>20</v>
      </c>
      <c r="B24" s="88" t="n">
        <f aca="false">INT(($A24-1)/DaysPerMonth)+1</f>
        <v>3</v>
      </c>
      <c r="C24" s="88" t="str">
        <f aca="false">MOD($A24-1,DaysPerMonth)+1&amp;" "&amp;CHOOSE($B24,"Jan","Feb","Mar","Apr","May","Jun","Jul","Aug","Sep","Oct","Nov","Dec")</f>
        <v>2 Mar</v>
      </c>
      <c r="D24" s="89" t="n">
        <v>-13.22</v>
      </c>
      <c r="E24" s="89" t="n">
        <v>-22.88</v>
      </c>
      <c r="F24" s="89" t="n">
        <v>-4.39</v>
      </c>
      <c r="G24" s="90" t="n">
        <f aca="false">D24+GHBonus</f>
        <v>-8.22</v>
      </c>
      <c r="H24" s="90" t="n">
        <f aca="false">E24+GHBonus</f>
        <v>-17.88</v>
      </c>
      <c r="I24" s="90" t="n">
        <f aca="false">F24+GHBonus</f>
        <v>0.61</v>
      </c>
      <c r="J24" s="92" t="n">
        <f aca="false">IF(D24&lt;=0,1,0)</f>
        <v>1</v>
      </c>
      <c r="K24" s="87" t="str">
        <f aca="false">IF($F24&gt;25,"yes","")</f>
        <v/>
      </c>
    </row>
    <row r="25" customFormat="false" ht="15" hidden="false" customHeight="true" outlineLevel="0" collapsed="false">
      <c r="A25" s="87" t="n">
        <v>21</v>
      </c>
      <c r="B25" s="88" t="n">
        <f aca="false">INT(($A25-1)/DaysPerMonth)+1</f>
        <v>3</v>
      </c>
      <c r="C25" s="88" t="str">
        <f aca="false">MOD($A25-1,DaysPerMonth)+1&amp;" "&amp;CHOOSE($B25,"Jan","Feb","Mar","Apr","May","Jun","Jul","Aug","Sep","Oct","Nov","Dec")</f>
        <v>3 Mar</v>
      </c>
      <c r="D25" s="89" t="n">
        <v>-12.38</v>
      </c>
      <c r="E25" s="89" t="n">
        <v>-20.65</v>
      </c>
      <c r="F25" s="89" t="n">
        <v>-4.22</v>
      </c>
      <c r="G25" s="90" t="n">
        <f aca="false">D25+GHBonus</f>
        <v>-7.38</v>
      </c>
      <c r="H25" s="90" t="n">
        <f aca="false">E25+GHBonus</f>
        <v>-15.65</v>
      </c>
      <c r="I25" s="90" t="n">
        <f aca="false">F25+GHBonus</f>
        <v>0.78</v>
      </c>
      <c r="J25" s="91" t="n">
        <f aca="false">IF(D25&lt;=0,1,0)</f>
        <v>1</v>
      </c>
      <c r="K25" s="87" t="str">
        <f aca="false">IF($F25&gt;25,"yes","")</f>
        <v/>
      </c>
    </row>
    <row r="26" customFormat="false" ht="15" hidden="false" customHeight="true" outlineLevel="0" collapsed="false">
      <c r="A26" s="87" t="n">
        <v>22</v>
      </c>
      <c r="B26" s="88" t="n">
        <f aca="false">INT(($A26-1)/DaysPerMonth)+1</f>
        <v>3</v>
      </c>
      <c r="C26" s="88" t="str">
        <f aca="false">MOD($A26-1,DaysPerMonth)+1&amp;" "&amp;CHOOSE($B26,"Jan","Feb","Mar","Apr","May","Jun","Jul","Aug","Sep","Oct","Nov","Dec")</f>
        <v>4 Mar</v>
      </c>
      <c r="D26" s="89" t="n">
        <v>-11.38</v>
      </c>
      <c r="E26" s="89" t="n">
        <v>-20</v>
      </c>
      <c r="F26" s="89" t="n">
        <v>-3.05</v>
      </c>
      <c r="G26" s="90" t="n">
        <f aca="false">D26+GHBonus</f>
        <v>-6.38</v>
      </c>
      <c r="H26" s="90" t="n">
        <f aca="false">E26+GHBonus</f>
        <v>-15</v>
      </c>
      <c r="I26" s="90" t="n">
        <f aca="false">F26+GHBonus</f>
        <v>1.95</v>
      </c>
      <c r="J26" s="92" t="n">
        <f aca="false">IF(D26&lt;=0,1,0)</f>
        <v>1</v>
      </c>
      <c r="K26" s="87" t="str">
        <f aca="false">IF($F26&gt;25,"yes","")</f>
        <v/>
      </c>
    </row>
    <row r="27" customFormat="false" ht="15" hidden="false" customHeight="true" outlineLevel="0" collapsed="false">
      <c r="A27" s="87" t="n">
        <v>23</v>
      </c>
      <c r="B27" s="88" t="n">
        <f aca="false">INT(($A27-1)/DaysPerMonth)+1</f>
        <v>3</v>
      </c>
      <c r="C27" s="88" t="str">
        <f aca="false">MOD($A27-1,DaysPerMonth)+1&amp;" "&amp;CHOOSE($B27,"Jan","Feb","Mar","Apr","May","Jun","Jul","Aug","Sep","Oct","Nov","Dec")</f>
        <v>5 Mar</v>
      </c>
      <c r="D27" s="89" t="n">
        <v>-10.78</v>
      </c>
      <c r="E27" s="89" t="n">
        <v>-20.05</v>
      </c>
      <c r="F27" s="89" t="n">
        <v>-1.29</v>
      </c>
      <c r="G27" s="90" t="n">
        <f aca="false">D27+GHBonus</f>
        <v>-5.78</v>
      </c>
      <c r="H27" s="90" t="n">
        <f aca="false">E27+GHBonus</f>
        <v>-15.05</v>
      </c>
      <c r="I27" s="90" t="n">
        <f aca="false">F27+GHBonus</f>
        <v>3.71</v>
      </c>
      <c r="J27" s="91" t="n">
        <f aca="false">IF(D27&lt;=0,1,0)</f>
        <v>1</v>
      </c>
      <c r="K27" s="87" t="str">
        <f aca="false">IF($F27&gt;25,"yes","")</f>
        <v/>
      </c>
    </row>
    <row r="28" customFormat="false" ht="15" hidden="false" customHeight="true" outlineLevel="0" collapsed="false">
      <c r="A28" s="87" t="n">
        <v>24</v>
      </c>
      <c r="B28" s="88" t="n">
        <f aca="false">INT(($A28-1)/DaysPerMonth)+1</f>
        <v>3</v>
      </c>
      <c r="C28" s="88" t="str">
        <f aca="false">MOD($A28-1,DaysPerMonth)+1&amp;" "&amp;CHOOSE($B28,"Jan","Feb","Mar","Apr","May","Jun","Jul","Aug","Sep","Oct","Nov","Dec")</f>
        <v>6 Mar</v>
      </c>
      <c r="D28" s="89" t="n">
        <v>-9.73</v>
      </c>
      <c r="E28" s="89" t="n">
        <v>-18.85</v>
      </c>
      <c r="F28" s="89" t="n">
        <v>-0.82</v>
      </c>
      <c r="G28" s="90" t="n">
        <f aca="false">D28+GHBonus</f>
        <v>-4.73</v>
      </c>
      <c r="H28" s="90" t="n">
        <f aca="false">E28+GHBonus</f>
        <v>-13.85</v>
      </c>
      <c r="I28" s="90" t="n">
        <f aca="false">F28+GHBonus</f>
        <v>4.18</v>
      </c>
      <c r="J28" s="92" t="n">
        <f aca="false">IF(D28&lt;=0,1,0)</f>
        <v>1</v>
      </c>
      <c r="K28" s="87" t="str">
        <f aca="false">IF($F28&gt;25,"yes","")</f>
        <v/>
      </c>
    </row>
    <row r="29" customFormat="false" ht="15" hidden="false" customHeight="true" outlineLevel="0" collapsed="false">
      <c r="A29" s="87" t="n">
        <v>25</v>
      </c>
      <c r="B29" s="88" t="n">
        <f aca="false">INT(($A29-1)/DaysPerMonth)+1</f>
        <v>3</v>
      </c>
      <c r="C29" s="88" t="str">
        <f aca="false">MOD($A29-1,DaysPerMonth)+1&amp;" "&amp;CHOOSE($B29,"Jan","Feb","Mar","Apr","May","Jun","Jul","Aug","Sep","Oct","Nov","Dec")</f>
        <v>7 Mar</v>
      </c>
      <c r="D29" s="89" t="n">
        <v>-9.62</v>
      </c>
      <c r="E29" s="89" t="n">
        <v>-18.31</v>
      </c>
      <c r="F29" s="89" t="n">
        <v>-0.82</v>
      </c>
      <c r="G29" s="90" t="n">
        <f aca="false">D29+GHBonus</f>
        <v>-4.62</v>
      </c>
      <c r="H29" s="90" t="n">
        <f aca="false">E29+GHBonus</f>
        <v>-13.31</v>
      </c>
      <c r="I29" s="90" t="n">
        <f aca="false">F29+GHBonus</f>
        <v>4.18</v>
      </c>
      <c r="J29" s="91" t="n">
        <f aca="false">IF(D29&lt;=0,1,0)</f>
        <v>1</v>
      </c>
      <c r="K29" s="87" t="str">
        <f aca="false">IF($F29&gt;25,"yes","")</f>
        <v/>
      </c>
    </row>
    <row r="30" customFormat="false" ht="15" hidden="false" customHeight="true" outlineLevel="0" collapsed="false">
      <c r="A30" s="87" t="n">
        <v>26</v>
      </c>
      <c r="B30" s="88" t="n">
        <f aca="false">INT(($A30-1)/DaysPerMonth)+1</f>
        <v>3</v>
      </c>
      <c r="C30" s="88" t="str">
        <f aca="false">MOD($A30-1,DaysPerMonth)+1&amp;" "&amp;CHOOSE($B30,"Jan","Feb","Mar","Apr","May","Jun","Jul","Aug","Sep","Oct","Nov","Dec")</f>
        <v>8 Mar</v>
      </c>
      <c r="D30" s="89" t="n">
        <v>-8.21</v>
      </c>
      <c r="E30" s="89" t="n">
        <v>-18.08</v>
      </c>
      <c r="F30" s="89" t="n">
        <v>1.84</v>
      </c>
      <c r="G30" s="90" t="n">
        <f aca="false">D30+GHBonus</f>
        <v>-3.21</v>
      </c>
      <c r="H30" s="90" t="n">
        <f aca="false">E30+GHBonus</f>
        <v>-13.08</v>
      </c>
      <c r="I30" s="90" t="n">
        <f aca="false">F30+GHBonus</f>
        <v>6.84</v>
      </c>
      <c r="J30" s="92" t="n">
        <f aca="false">IF(D30&lt;=0,1,0)</f>
        <v>1</v>
      </c>
      <c r="K30" s="87" t="str">
        <f aca="false">IF($F30&gt;25,"yes","")</f>
        <v/>
      </c>
    </row>
    <row r="31" customFormat="false" ht="15" hidden="false" customHeight="true" outlineLevel="0" collapsed="false">
      <c r="A31" s="87" t="n">
        <v>27</v>
      </c>
      <c r="B31" s="88" t="n">
        <f aca="false">INT(($A31-1)/DaysPerMonth)+1</f>
        <v>3</v>
      </c>
      <c r="C31" s="88" t="str">
        <f aca="false">MOD($A31-1,DaysPerMonth)+1&amp;" "&amp;CHOOSE($B31,"Jan","Feb","Mar","Apr","May","Jun","Jul","Aug","Sep","Oct","Nov","Dec")</f>
        <v>9 Mar</v>
      </c>
      <c r="D31" s="89" t="n">
        <v>-6.99</v>
      </c>
      <c r="E31" s="89" t="n">
        <v>-16.57</v>
      </c>
      <c r="F31" s="89" t="n">
        <v>2.24</v>
      </c>
      <c r="G31" s="90" t="n">
        <f aca="false">D31+GHBonus</f>
        <v>-1.99</v>
      </c>
      <c r="H31" s="90" t="n">
        <f aca="false">E31+GHBonus</f>
        <v>-11.57</v>
      </c>
      <c r="I31" s="90" t="n">
        <f aca="false">F31+GHBonus</f>
        <v>7.24</v>
      </c>
      <c r="J31" s="91" t="n">
        <f aca="false">IF(D31&lt;=0,1,0)</f>
        <v>1</v>
      </c>
      <c r="K31" s="87" t="str">
        <f aca="false">IF($F31&gt;25,"yes","")</f>
        <v/>
      </c>
    </row>
    <row r="32" customFormat="false" ht="15" hidden="false" customHeight="true" outlineLevel="0" collapsed="false">
      <c r="A32" s="87" t="n">
        <v>28</v>
      </c>
      <c r="B32" s="88" t="n">
        <f aca="false">INT(($A32-1)/DaysPerMonth)+1</f>
        <v>4</v>
      </c>
      <c r="C32" s="88" t="str">
        <f aca="false">MOD($A32-1,DaysPerMonth)+1&amp;" "&amp;CHOOSE($B32,"Jan","Feb","Mar","Apr","May","Jun","Jul","Aug","Sep","Oct","Nov","Dec")</f>
        <v>1 Apr</v>
      </c>
      <c r="D32" s="89" t="n">
        <v>-6.59</v>
      </c>
      <c r="E32" s="89" t="n">
        <v>-15.42</v>
      </c>
      <c r="F32" s="89" t="n">
        <v>2.01</v>
      </c>
      <c r="G32" s="90" t="n">
        <f aca="false">D32+GHBonus</f>
        <v>-1.59</v>
      </c>
      <c r="H32" s="90" t="n">
        <f aca="false">E32+GHBonus</f>
        <v>-10.42</v>
      </c>
      <c r="I32" s="90" t="n">
        <f aca="false">F32+GHBonus</f>
        <v>7.01</v>
      </c>
      <c r="J32" s="92" t="n">
        <f aca="false">IF(D32&lt;=0,1,0)</f>
        <v>1</v>
      </c>
      <c r="K32" s="87" t="str">
        <f aca="false">IF($F32&gt;25,"yes","")</f>
        <v/>
      </c>
    </row>
    <row r="33" customFormat="false" ht="15" hidden="false" customHeight="true" outlineLevel="0" collapsed="false">
      <c r="A33" s="87" t="n">
        <v>29</v>
      </c>
      <c r="B33" s="88" t="n">
        <f aca="false">INT(($A33-1)/DaysPerMonth)+1</f>
        <v>4</v>
      </c>
      <c r="C33" s="88" t="str">
        <f aca="false">MOD($A33-1,DaysPerMonth)+1&amp;" "&amp;CHOOSE($B33,"Jan","Feb","Mar","Apr","May","Jun","Jul","Aug","Sep","Oct","Nov","Dec")</f>
        <v>2 Apr</v>
      </c>
      <c r="D33" s="89" t="n">
        <v>-4.38</v>
      </c>
      <c r="E33" s="89" t="n">
        <v>-13.37</v>
      </c>
      <c r="F33" s="89" t="n">
        <v>4.11</v>
      </c>
      <c r="G33" s="90" t="n">
        <f aca="false">D33+GHBonus</f>
        <v>0.62</v>
      </c>
      <c r="H33" s="90" t="n">
        <f aca="false">E33+GHBonus</f>
        <v>-8.37</v>
      </c>
      <c r="I33" s="90" t="n">
        <f aca="false">F33+GHBonus</f>
        <v>9.11</v>
      </c>
      <c r="J33" s="91" t="n">
        <f aca="false">IF(D33&lt;=0,1,0)</f>
        <v>1</v>
      </c>
      <c r="K33" s="87" t="str">
        <f aca="false">IF($F33&gt;25,"yes","")</f>
        <v/>
      </c>
    </row>
    <row r="34" customFormat="false" ht="15" hidden="false" customHeight="true" outlineLevel="0" collapsed="false">
      <c r="A34" s="87" t="n">
        <v>30</v>
      </c>
      <c r="B34" s="88" t="n">
        <f aca="false">INT(($A34-1)/DaysPerMonth)+1</f>
        <v>4</v>
      </c>
      <c r="C34" s="88" t="str">
        <f aca="false">MOD($A34-1,DaysPerMonth)+1&amp;" "&amp;CHOOSE($B34,"Jan","Feb","Mar","Apr","May","Jun","Jul","Aug","Sep","Oct","Nov","Dec")</f>
        <v>3 Apr</v>
      </c>
      <c r="D34" s="89" t="n">
        <v>-4.18</v>
      </c>
      <c r="E34" s="89" t="n">
        <v>-12.98</v>
      </c>
      <c r="F34" s="89" t="n">
        <v>4.77</v>
      </c>
      <c r="G34" s="90" t="n">
        <f aca="false">D34+GHBonus</f>
        <v>0.82</v>
      </c>
      <c r="H34" s="90" t="n">
        <f aca="false">E34+GHBonus</f>
        <v>-7.98</v>
      </c>
      <c r="I34" s="90" t="n">
        <f aca="false">F34+GHBonus</f>
        <v>9.77</v>
      </c>
      <c r="J34" s="92" t="n">
        <f aca="false">IF(D34&lt;=0,1,0)</f>
        <v>1</v>
      </c>
      <c r="K34" s="87" t="str">
        <f aca="false">IF($F34&gt;25,"yes","")</f>
        <v/>
      </c>
    </row>
    <row r="35" customFormat="false" ht="15" hidden="false" customHeight="true" outlineLevel="0" collapsed="false">
      <c r="A35" s="87" t="n">
        <v>31</v>
      </c>
      <c r="B35" s="88" t="n">
        <f aca="false">INT(($A35-1)/DaysPerMonth)+1</f>
        <v>4</v>
      </c>
      <c r="C35" s="88" t="str">
        <f aca="false">MOD($A35-1,DaysPerMonth)+1&amp;" "&amp;CHOOSE($B35,"Jan","Feb","Mar","Apr","May","Jun","Jul","Aug","Sep","Oct","Nov","Dec")</f>
        <v>4 Apr</v>
      </c>
      <c r="D35" s="89" t="n">
        <v>-3.05</v>
      </c>
      <c r="E35" s="89" t="n">
        <v>-12.46</v>
      </c>
      <c r="F35" s="89" t="n">
        <v>6.68</v>
      </c>
      <c r="G35" s="90" t="n">
        <f aca="false">D35+GHBonus</f>
        <v>1.95</v>
      </c>
      <c r="H35" s="90" t="n">
        <f aca="false">E35+GHBonus</f>
        <v>-7.46</v>
      </c>
      <c r="I35" s="90" t="n">
        <f aca="false">F35+GHBonus</f>
        <v>11.68</v>
      </c>
      <c r="J35" s="91" t="n">
        <f aca="false">IF(D35&lt;=0,1,0)</f>
        <v>1</v>
      </c>
      <c r="K35" s="87" t="str">
        <f aca="false">IF($F35&gt;25,"yes","")</f>
        <v/>
      </c>
    </row>
    <row r="36" customFormat="false" ht="15" hidden="false" customHeight="true" outlineLevel="0" collapsed="false">
      <c r="A36" s="87" t="n">
        <v>32</v>
      </c>
      <c r="B36" s="88" t="n">
        <f aca="false">INT(($A36-1)/DaysPerMonth)+1</f>
        <v>4</v>
      </c>
      <c r="C36" s="88" t="str">
        <f aca="false">MOD($A36-1,DaysPerMonth)+1&amp;" "&amp;CHOOSE($B36,"Jan","Feb","Mar","Apr","May","Jun","Jul","Aug","Sep","Oct","Nov","Dec")</f>
        <v>5 Apr</v>
      </c>
      <c r="D36" s="89" t="n">
        <v>-1.76</v>
      </c>
      <c r="E36" s="89" t="n">
        <v>-10.85</v>
      </c>
      <c r="F36" s="89" t="n">
        <v>7.4</v>
      </c>
      <c r="G36" s="90" t="n">
        <f aca="false">D36+GHBonus</f>
        <v>3.24</v>
      </c>
      <c r="H36" s="90" t="n">
        <f aca="false">E36+GHBonus</f>
        <v>-5.85</v>
      </c>
      <c r="I36" s="90" t="n">
        <f aca="false">F36+GHBonus</f>
        <v>12.4</v>
      </c>
      <c r="J36" s="92" t="n">
        <f aca="false">IF(D36&lt;=0,1,0)</f>
        <v>1</v>
      </c>
      <c r="K36" s="87" t="str">
        <f aca="false">IF($F36&gt;25,"yes","")</f>
        <v/>
      </c>
    </row>
    <row r="37" customFormat="false" ht="15" hidden="false" customHeight="true" outlineLevel="0" collapsed="false">
      <c r="A37" s="87" t="n">
        <v>33</v>
      </c>
      <c r="B37" s="88" t="n">
        <f aca="false">INT(($A37-1)/DaysPerMonth)+1</f>
        <v>4</v>
      </c>
      <c r="C37" s="88" t="str">
        <f aca="false">MOD($A37-1,DaysPerMonth)+1&amp;" "&amp;CHOOSE($B37,"Jan","Feb","Mar","Apr","May","Jun","Jul","Aug","Sep","Oct","Nov","Dec")</f>
        <v>6 Apr</v>
      </c>
      <c r="D37" s="89" t="n">
        <v>-0.95</v>
      </c>
      <c r="E37" s="89" t="n">
        <v>-9.74</v>
      </c>
      <c r="F37" s="89" t="n">
        <v>7.69</v>
      </c>
      <c r="G37" s="90" t="n">
        <f aca="false">D37+GHBonus</f>
        <v>4.05</v>
      </c>
      <c r="H37" s="90" t="n">
        <f aca="false">E37+GHBonus</f>
        <v>-4.74</v>
      </c>
      <c r="I37" s="90" t="n">
        <f aca="false">F37+GHBonus</f>
        <v>12.69</v>
      </c>
      <c r="J37" s="91" t="n">
        <f aca="false">IF(D37&lt;=0,1,0)</f>
        <v>1</v>
      </c>
      <c r="K37" s="87" t="str">
        <f aca="false">IF($F37&gt;25,"yes","")</f>
        <v/>
      </c>
    </row>
    <row r="38" customFormat="false" ht="15" hidden="false" customHeight="true" outlineLevel="0" collapsed="false">
      <c r="A38" s="87" t="n">
        <v>34</v>
      </c>
      <c r="B38" s="88" t="n">
        <f aca="false">INT(($A38-1)/DaysPerMonth)+1</f>
        <v>4</v>
      </c>
      <c r="C38" s="88" t="str">
        <f aca="false">MOD($A38-1,DaysPerMonth)+1&amp;" "&amp;CHOOSE($B38,"Jan","Feb","Mar","Apr","May","Jun","Jul","Aug","Sep","Oct","Nov","Dec")</f>
        <v>7 Apr</v>
      </c>
      <c r="D38" s="89" t="n">
        <v>0.57</v>
      </c>
      <c r="E38" s="89" t="n">
        <v>-8.14</v>
      </c>
      <c r="F38" s="89" t="n">
        <v>9.51</v>
      </c>
      <c r="G38" s="90" t="n">
        <f aca="false">D38+GHBonus</f>
        <v>5.57</v>
      </c>
      <c r="H38" s="90" t="n">
        <f aca="false">E38+GHBonus</f>
        <v>-3.14</v>
      </c>
      <c r="I38" s="90" t="n">
        <f aca="false">F38+GHBonus</f>
        <v>14.51</v>
      </c>
      <c r="J38" s="92" t="n">
        <f aca="false">IF(D38&lt;=0,1,0)</f>
        <v>0</v>
      </c>
      <c r="K38" s="87" t="str">
        <f aca="false">IF($F38&gt;25,"yes","")</f>
        <v/>
      </c>
    </row>
    <row r="39" customFormat="false" ht="15" hidden="false" customHeight="true" outlineLevel="0" collapsed="false">
      <c r="A39" s="87" t="n">
        <v>35</v>
      </c>
      <c r="B39" s="88" t="n">
        <f aca="false">INT(($A39-1)/DaysPerMonth)+1</f>
        <v>4</v>
      </c>
      <c r="C39" s="88" t="str">
        <f aca="false">MOD($A39-1,DaysPerMonth)+1&amp;" "&amp;CHOOSE($B39,"Jan","Feb","Mar","Apr","May","Jun","Jul","Aug","Sep","Oct","Nov","Dec")</f>
        <v>8 Apr</v>
      </c>
      <c r="D39" s="89" t="n">
        <v>1.78</v>
      </c>
      <c r="E39" s="89" t="n">
        <v>-8.13</v>
      </c>
      <c r="F39" s="89" t="n">
        <v>11.49</v>
      </c>
      <c r="G39" s="90" t="n">
        <f aca="false">D39+GHBonus</f>
        <v>6.78</v>
      </c>
      <c r="H39" s="90" t="n">
        <f aca="false">E39+GHBonus</f>
        <v>-3.13</v>
      </c>
      <c r="I39" s="90" t="n">
        <f aca="false">F39+GHBonus</f>
        <v>16.49</v>
      </c>
      <c r="J39" s="91" t="n">
        <f aca="false">IF(D39&lt;=0,1,0)</f>
        <v>0</v>
      </c>
      <c r="K39" s="87" t="str">
        <f aca="false">IF($F39&gt;25,"yes","")</f>
        <v/>
      </c>
    </row>
    <row r="40" customFormat="false" ht="15" hidden="false" customHeight="true" outlineLevel="0" collapsed="false">
      <c r="A40" s="87" t="n">
        <v>36</v>
      </c>
      <c r="B40" s="88" t="n">
        <f aca="false">INT(($A40-1)/DaysPerMonth)+1</f>
        <v>4</v>
      </c>
      <c r="C40" s="88" t="str">
        <f aca="false">MOD($A40-1,DaysPerMonth)+1&amp;" "&amp;CHOOSE($B40,"Jan","Feb","Mar","Apr","May","Jun","Jul","Aug","Sep","Oct","Nov","Dec")</f>
        <v>9 Apr</v>
      </c>
      <c r="D40" s="89" t="n">
        <v>3</v>
      </c>
      <c r="E40" s="89" t="n">
        <v>-6.18</v>
      </c>
      <c r="F40" s="89" t="n">
        <v>12.39</v>
      </c>
      <c r="G40" s="90" t="n">
        <f aca="false">D40+GHBonus</f>
        <v>8</v>
      </c>
      <c r="H40" s="90" t="n">
        <f aca="false">E40+GHBonus</f>
        <v>-1.18</v>
      </c>
      <c r="I40" s="90" t="n">
        <f aca="false">F40+GHBonus</f>
        <v>17.39</v>
      </c>
      <c r="J40" s="92" t="n">
        <f aca="false">IF(D40&lt;=0,1,0)</f>
        <v>0</v>
      </c>
      <c r="K40" s="87" t="str">
        <f aca="false">IF($F40&gt;25,"yes","")</f>
        <v/>
      </c>
    </row>
    <row r="41" customFormat="false" ht="15" hidden="false" customHeight="true" outlineLevel="0" collapsed="false">
      <c r="A41" s="87" t="n">
        <v>37</v>
      </c>
      <c r="B41" s="88" t="n">
        <f aca="false">INT(($A41-1)/DaysPerMonth)+1</f>
        <v>5</v>
      </c>
      <c r="C41" s="88" t="str">
        <f aca="false">MOD($A41-1,DaysPerMonth)+1&amp;" "&amp;CHOOSE($B41,"Jan","Feb","Mar","Apr","May","Jun","Jul","Aug","Sep","Oct","Nov","Dec")</f>
        <v>1 May</v>
      </c>
      <c r="D41" s="89" t="n">
        <v>4.97</v>
      </c>
      <c r="E41" s="89" t="n">
        <v>-4.62</v>
      </c>
      <c r="F41" s="89" t="n">
        <v>14.49</v>
      </c>
      <c r="G41" s="90" t="n">
        <f aca="false">D41+GHBonus</f>
        <v>9.97</v>
      </c>
      <c r="H41" s="90" t="n">
        <f aca="false">E41+GHBonus</f>
        <v>0.38</v>
      </c>
      <c r="I41" s="90" t="n">
        <f aca="false">F41+GHBonus</f>
        <v>19.49</v>
      </c>
      <c r="J41" s="91" t="n">
        <f aca="false">IF(D41&lt;=0,1,0)</f>
        <v>0</v>
      </c>
      <c r="K41" s="87" t="str">
        <f aca="false">IF($F41&gt;25,"yes","")</f>
        <v/>
      </c>
    </row>
    <row r="42" customFormat="false" ht="15" hidden="false" customHeight="true" outlineLevel="0" collapsed="false">
      <c r="A42" s="87" t="n">
        <v>38</v>
      </c>
      <c r="B42" s="88" t="n">
        <f aca="false">INT(($A42-1)/DaysPerMonth)+1</f>
        <v>5</v>
      </c>
      <c r="C42" s="88" t="str">
        <f aca="false">MOD($A42-1,DaysPerMonth)+1&amp;" "&amp;CHOOSE($B42,"Jan","Feb","Mar","Apr","May","Jun","Jul","Aug","Sep","Oct","Nov","Dec")</f>
        <v>2 May</v>
      </c>
      <c r="D42" s="89" t="n">
        <v>5.1</v>
      </c>
      <c r="E42" s="89" t="n">
        <v>-3.63</v>
      </c>
      <c r="F42" s="89" t="n">
        <v>14.01</v>
      </c>
      <c r="G42" s="90" t="n">
        <f aca="false">D42+GHBonus</f>
        <v>10.1</v>
      </c>
      <c r="H42" s="90" t="n">
        <f aca="false">E42+GHBonus</f>
        <v>1.37</v>
      </c>
      <c r="I42" s="90" t="n">
        <f aca="false">F42+GHBonus</f>
        <v>19.01</v>
      </c>
      <c r="J42" s="92" t="n">
        <f aca="false">IF(D42&lt;=0,1,0)</f>
        <v>0</v>
      </c>
      <c r="K42" s="87" t="str">
        <f aca="false">IF($F42&gt;25,"yes","")</f>
        <v/>
      </c>
    </row>
    <row r="43" customFormat="false" ht="15" hidden="false" customHeight="true" outlineLevel="0" collapsed="false">
      <c r="A43" s="87" t="n">
        <v>39</v>
      </c>
      <c r="B43" s="88" t="n">
        <f aca="false">INT(($A43-1)/DaysPerMonth)+1</f>
        <v>5</v>
      </c>
      <c r="C43" s="88" t="str">
        <f aca="false">MOD($A43-1,DaysPerMonth)+1&amp;" "&amp;CHOOSE($B43,"Jan","Feb","Mar","Apr","May","Jun","Jul","Aug","Sep","Oct","Nov","Dec")</f>
        <v>3 May</v>
      </c>
      <c r="D43" s="89" t="n">
        <v>6.26</v>
      </c>
      <c r="E43" s="89" t="n">
        <v>-3.53</v>
      </c>
      <c r="F43" s="89" t="n">
        <v>15.33</v>
      </c>
      <c r="G43" s="90" t="n">
        <f aca="false">D43+GHBonus</f>
        <v>11.26</v>
      </c>
      <c r="H43" s="90" t="n">
        <f aca="false">E43+GHBonus</f>
        <v>1.47</v>
      </c>
      <c r="I43" s="90" t="n">
        <f aca="false">F43+GHBonus</f>
        <v>20.33</v>
      </c>
      <c r="J43" s="91" t="n">
        <f aca="false">IF(D43&lt;=0,1,0)</f>
        <v>0</v>
      </c>
      <c r="K43" s="87" t="str">
        <f aca="false">IF($F43&gt;25,"yes","")</f>
        <v/>
      </c>
    </row>
    <row r="44" customFormat="false" ht="15" hidden="false" customHeight="true" outlineLevel="0" collapsed="false">
      <c r="A44" s="87" t="n">
        <v>40</v>
      </c>
      <c r="B44" s="88" t="n">
        <f aca="false">INT(($A44-1)/DaysPerMonth)+1</f>
        <v>5</v>
      </c>
      <c r="C44" s="88" t="str">
        <f aca="false">MOD($A44-1,DaysPerMonth)+1&amp;" "&amp;CHOOSE($B44,"Jan","Feb","Mar","Apr","May","Jun","Jul","Aug","Sep","Oct","Nov","Dec")</f>
        <v>4 May</v>
      </c>
      <c r="D44" s="89" t="n">
        <v>7.46</v>
      </c>
      <c r="E44" s="89" t="n">
        <v>-1.26</v>
      </c>
      <c r="F44" s="89" t="n">
        <v>17.06</v>
      </c>
      <c r="G44" s="90" t="n">
        <f aca="false">D44+GHBonus</f>
        <v>12.46</v>
      </c>
      <c r="H44" s="90" t="n">
        <f aca="false">E44+GHBonus</f>
        <v>3.74</v>
      </c>
      <c r="I44" s="90" t="n">
        <f aca="false">F44+GHBonus</f>
        <v>22.06</v>
      </c>
      <c r="J44" s="92" t="n">
        <f aca="false">IF(D44&lt;=0,1,0)</f>
        <v>0</v>
      </c>
      <c r="K44" s="87" t="str">
        <f aca="false">IF($F44&gt;25,"yes","")</f>
        <v/>
      </c>
    </row>
    <row r="45" customFormat="false" ht="15" hidden="false" customHeight="true" outlineLevel="0" collapsed="false">
      <c r="A45" s="87" t="n">
        <v>41</v>
      </c>
      <c r="B45" s="88" t="n">
        <f aca="false">INT(($A45-1)/DaysPerMonth)+1</f>
        <v>5</v>
      </c>
      <c r="C45" s="88" t="str">
        <f aca="false">MOD($A45-1,DaysPerMonth)+1&amp;" "&amp;CHOOSE($B45,"Jan","Feb","Mar","Apr","May","Jun","Jul","Aug","Sep","Oct","Nov","Dec")</f>
        <v>5 May</v>
      </c>
      <c r="D45" s="89" t="n">
        <v>7.7</v>
      </c>
      <c r="E45" s="89" t="n">
        <v>-2.57</v>
      </c>
      <c r="F45" s="89" t="n">
        <v>17.27</v>
      </c>
      <c r="G45" s="90" t="n">
        <f aca="false">D45+GHBonus</f>
        <v>12.7</v>
      </c>
      <c r="H45" s="90" t="n">
        <f aca="false">E45+GHBonus</f>
        <v>2.43</v>
      </c>
      <c r="I45" s="90" t="n">
        <f aca="false">F45+GHBonus</f>
        <v>22.27</v>
      </c>
      <c r="J45" s="91" t="n">
        <f aca="false">IF(D45&lt;=0,1,0)</f>
        <v>0</v>
      </c>
      <c r="K45" s="87" t="str">
        <f aca="false">IF($F45&gt;25,"yes","")</f>
        <v/>
      </c>
    </row>
    <row r="46" customFormat="false" ht="15" hidden="false" customHeight="true" outlineLevel="0" collapsed="false">
      <c r="A46" s="87" t="n">
        <v>42</v>
      </c>
      <c r="B46" s="88" t="n">
        <f aca="false">INT(($A46-1)/DaysPerMonth)+1</f>
        <v>5</v>
      </c>
      <c r="C46" s="88" t="str">
        <f aca="false">MOD($A46-1,DaysPerMonth)+1&amp;" "&amp;CHOOSE($B46,"Jan","Feb","Mar","Apr","May","Jun","Jul","Aug","Sep","Oct","Nov","Dec")</f>
        <v>6 May</v>
      </c>
      <c r="D46" s="89" t="n">
        <v>8.95</v>
      </c>
      <c r="E46" s="89" t="n">
        <v>-0.19</v>
      </c>
      <c r="F46" s="89" t="n">
        <v>17.7</v>
      </c>
      <c r="G46" s="90" t="n">
        <f aca="false">D46+GHBonus</f>
        <v>13.95</v>
      </c>
      <c r="H46" s="90" t="n">
        <f aca="false">E46+GHBonus</f>
        <v>4.81</v>
      </c>
      <c r="I46" s="90" t="n">
        <f aca="false">F46+GHBonus</f>
        <v>22.7</v>
      </c>
      <c r="J46" s="92" t="n">
        <f aca="false">IF(D46&lt;=0,1,0)</f>
        <v>0</v>
      </c>
      <c r="K46" s="87" t="str">
        <f aca="false">IF($F46&gt;25,"yes","")</f>
        <v/>
      </c>
    </row>
    <row r="47" customFormat="false" ht="15" hidden="false" customHeight="true" outlineLevel="0" collapsed="false">
      <c r="A47" s="87" t="n">
        <v>43</v>
      </c>
      <c r="B47" s="88" t="n">
        <f aca="false">INT(($A47-1)/DaysPerMonth)+1</f>
        <v>5</v>
      </c>
      <c r="C47" s="88" t="str">
        <f aca="false">MOD($A47-1,DaysPerMonth)+1&amp;" "&amp;CHOOSE($B47,"Jan","Feb","Mar","Apr","May","Jun","Jul","Aug","Sep","Oct","Nov","Dec")</f>
        <v>7 May</v>
      </c>
      <c r="D47" s="89" t="n">
        <v>10.63</v>
      </c>
      <c r="E47" s="89" t="n">
        <v>1.56</v>
      </c>
      <c r="F47" s="89" t="n">
        <v>19.58</v>
      </c>
      <c r="G47" s="90" t="n">
        <f aca="false">D47+GHBonus</f>
        <v>15.63</v>
      </c>
      <c r="H47" s="90" t="n">
        <f aca="false">E47+GHBonus</f>
        <v>6.56</v>
      </c>
      <c r="I47" s="90" t="n">
        <f aca="false">F47+GHBonus</f>
        <v>24.58</v>
      </c>
      <c r="J47" s="91" t="n">
        <f aca="false">IF(D47&lt;=0,1,0)</f>
        <v>0</v>
      </c>
      <c r="K47" s="87" t="str">
        <f aca="false">IF($F47&gt;25,"yes","")</f>
        <v/>
      </c>
    </row>
    <row r="48" customFormat="false" ht="15" hidden="false" customHeight="true" outlineLevel="0" collapsed="false">
      <c r="A48" s="87" t="n">
        <v>44</v>
      </c>
      <c r="B48" s="88" t="n">
        <f aca="false">INT(($A48-1)/DaysPerMonth)+1</f>
        <v>5</v>
      </c>
      <c r="C48" s="88" t="str">
        <f aca="false">MOD($A48-1,DaysPerMonth)+1&amp;" "&amp;CHOOSE($B48,"Jan","Feb","Mar","Apr","May","Jun","Jul","Aug","Sep","Oct","Nov","Dec")</f>
        <v>8 May</v>
      </c>
      <c r="D48" s="89" t="n">
        <v>10.69</v>
      </c>
      <c r="E48" s="89" t="n">
        <v>2.39</v>
      </c>
      <c r="F48" s="89" t="n">
        <v>19.74</v>
      </c>
      <c r="G48" s="90" t="n">
        <f aca="false">D48+GHBonus</f>
        <v>15.69</v>
      </c>
      <c r="H48" s="90" t="n">
        <f aca="false">E48+GHBonus</f>
        <v>7.39</v>
      </c>
      <c r="I48" s="90" t="n">
        <f aca="false">F48+GHBonus</f>
        <v>24.74</v>
      </c>
      <c r="J48" s="92" t="n">
        <f aca="false">IF(D48&lt;=0,1,0)</f>
        <v>0</v>
      </c>
      <c r="K48" s="87" t="str">
        <f aca="false">IF($F48&gt;25,"yes","")</f>
        <v/>
      </c>
    </row>
    <row r="49" customFormat="false" ht="15" hidden="false" customHeight="true" outlineLevel="0" collapsed="false">
      <c r="A49" s="87" t="n">
        <v>45</v>
      </c>
      <c r="B49" s="88" t="n">
        <f aca="false">INT(($A49-1)/DaysPerMonth)+1</f>
        <v>5</v>
      </c>
      <c r="C49" s="88" t="str">
        <f aca="false">MOD($A49-1,DaysPerMonth)+1&amp;" "&amp;CHOOSE($B49,"Jan","Feb","Mar","Apr","May","Jun","Jul","Aug","Sep","Oct","Nov","Dec")</f>
        <v>9 May</v>
      </c>
      <c r="D49" s="89" t="n">
        <v>11.36</v>
      </c>
      <c r="E49" s="89" t="n">
        <v>3.27</v>
      </c>
      <c r="F49" s="89" t="n">
        <v>19.9</v>
      </c>
      <c r="G49" s="90" t="n">
        <f aca="false">D49+GHBonus</f>
        <v>16.36</v>
      </c>
      <c r="H49" s="90" t="n">
        <f aca="false">E49+GHBonus</f>
        <v>8.27</v>
      </c>
      <c r="I49" s="90" t="n">
        <f aca="false">F49+GHBonus</f>
        <v>24.9</v>
      </c>
      <c r="J49" s="91" t="n">
        <f aca="false">IF(D49&lt;=0,1,0)</f>
        <v>0</v>
      </c>
      <c r="K49" s="87" t="str">
        <f aca="false">IF($F49&gt;25,"yes","")</f>
        <v/>
      </c>
    </row>
    <row r="50" customFormat="false" ht="15" hidden="false" customHeight="true" outlineLevel="0" collapsed="false">
      <c r="A50" s="87" t="n">
        <v>46</v>
      </c>
      <c r="B50" s="88" t="n">
        <f aca="false">INT(($A50-1)/DaysPerMonth)+1</f>
        <v>6</v>
      </c>
      <c r="C50" s="88" t="str">
        <f aca="false">MOD($A50-1,DaysPerMonth)+1&amp;" "&amp;CHOOSE($B50,"Jan","Feb","Mar","Apr","May","Jun","Jul","Aug","Sep","Oct","Nov","Dec")</f>
        <v>1 Jun</v>
      </c>
      <c r="D50" s="89" t="n">
        <v>12.07</v>
      </c>
      <c r="E50" s="89" t="n">
        <v>2.62</v>
      </c>
      <c r="F50" s="89" t="n">
        <v>21.28</v>
      </c>
      <c r="G50" s="90" t="n">
        <f aca="false">D50+GHBonus</f>
        <v>17.07</v>
      </c>
      <c r="H50" s="90" t="n">
        <f aca="false">E50+GHBonus</f>
        <v>7.62</v>
      </c>
      <c r="I50" s="90" t="n">
        <f aca="false">F50+GHBonus</f>
        <v>26.28</v>
      </c>
      <c r="J50" s="92" t="n">
        <f aca="false">IF(D50&lt;=0,1,0)</f>
        <v>0</v>
      </c>
      <c r="K50" s="87" t="str">
        <f aca="false">IF($F50&gt;25,"yes","")</f>
        <v/>
      </c>
    </row>
    <row r="51" customFormat="false" ht="15" hidden="false" customHeight="true" outlineLevel="0" collapsed="false">
      <c r="A51" s="87" t="n">
        <v>47</v>
      </c>
      <c r="B51" s="88" t="n">
        <f aca="false">INT(($A51-1)/DaysPerMonth)+1</f>
        <v>6</v>
      </c>
      <c r="C51" s="88" t="str">
        <f aca="false">MOD($A51-1,DaysPerMonth)+1&amp;" "&amp;CHOOSE($B51,"Jan","Feb","Mar","Apr","May","Jun","Jul","Aug","Sep","Oct","Nov","Dec")</f>
        <v>2 Jun</v>
      </c>
      <c r="D51" s="89" t="n">
        <v>12.75</v>
      </c>
      <c r="E51" s="89" t="n">
        <v>4.1</v>
      </c>
      <c r="F51" s="89" t="n">
        <v>21.24</v>
      </c>
      <c r="G51" s="90" t="n">
        <f aca="false">D51+GHBonus</f>
        <v>17.75</v>
      </c>
      <c r="H51" s="90" t="n">
        <f aca="false">E51+GHBonus</f>
        <v>9.1</v>
      </c>
      <c r="I51" s="90" t="n">
        <f aca="false">F51+GHBonus</f>
        <v>26.24</v>
      </c>
      <c r="J51" s="91" t="n">
        <f aca="false">IF(D51&lt;=0,1,0)</f>
        <v>0</v>
      </c>
      <c r="K51" s="87" t="str">
        <f aca="false">IF($F51&gt;25,"yes","")</f>
        <v/>
      </c>
    </row>
    <row r="52" customFormat="false" ht="15" hidden="false" customHeight="true" outlineLevel="0" collapsed="false">
      <c r="A52" s="87" t="n">
        <v>48</v>
      </c>
      <c r="B52" s="88" t="n">
        <f aca="false">INT(($A52-1)/DaysPerMonth)+1</f>
        <v>6</v>
      </c>
      <c r="C52" s="88" t="str">
        <f aca="false">MOD($A52-1,DaysPerMonth)+1&amp;" "&amp;CHOOSE($B52,"Jan","Feb","Mar","Apr","May","Jun","Jul","Aug","Sep","Oct","Nov","Dec")</f>
        <v>3 Jun</v>
      </c>
      <c r="D52" s="89" t="n">
        <v>13.17</v>
      </c>
      <c r="E52" s="89" t="n">
        <v>3.88</v>
      </c>
      <c r="F52" s="89" t="n">
        <v>22.14</v>
      </c>
      <c r="G52" s="90" t="n">
        <f aca="false">D52+GHBonus</f>
        <v>18.17</v>
      </c>
      <c r="H52" s="90" t="n">
        <f aca="false">E52+GHBonus</f>
        <v>8.88</v>
      </c>
      <c r="I52" s="90" t="n">
        <f aca="false">F52+GHBonus</f>
        <v>27.14</v>
      </c>
      <c r="J52" s="92" t="n">
        <f aca="false">IF(D52&lt;=0,1,0)</f>
        <v>0</v>
      </c>
      <c r="K52" s="87" t="str">
        <f aca="false">IF($F52&gt;25,"yes","")</f>
        <v/>
      </c>
    </row>
    <row r="53" customFormat="false" ht="15" hidden="false" customHeight="true" outlineLevel="0" collapsed="false">
      <c r="A53" s="87" t="n">
        <v>49</v>
      </c>
      <c r="B53" s="88" t="n">
        <f aca="false">INT(($A53-1)/DaysPerMonth)+1</f>
        <v>6</v>
      </c>
      <c r="C53" s="88" t="str">
        <f aca="false">MOD($A53-1,DaysPerMonth)+1&amp;" "&amp;CHOOSE($B53,"Jan","Feb","Mar","Apr","May","Jun","Jul","Aug","Sep","Oct","Nov","Dec")</f>
        <v>4 Jun</v>
      </c>
      <c r="D53" s="89" t="n">
        <v>13.42</v>
      </c>
      <c r="E53" s="89" t="n">
        <v>4.14</v>
      </c>
      <c r="F53" s="89" t="n">
        <v>22.77</v>
      </c>
      <c r="G53" s="90" t="n">
        <f aca="false">D53+GHBonus</f>
        <v>18.42</v>
      </c>
      <c r="H53" s="90" t="n">
        <f aca="false">E53+GHBonus</f>
        <v>9.14</v>
      </c>
      <c r="I53" s="90" t="n">
        <f aca="false">F53+GHBonus</f>
        <v>27.77</v>
      </c>
      <c r="J53" s="91" t="n">
        <f aca="false">IF(D53&lt;=0,1,0)</f>
        <v>0</v>
      </c>
      <c r="K53" s="87" t="str">
        <f aca="false">IF($F53&gt;25,"yes","")</f>
        <v/>
      </c>
    </row>
    <row r="54" customFormat="false" ht="15" hidden="false" customHeight="true" outlineLevel="0" collapsed="false">
      <c r="A54" s="87" t="n">
        <v>50</v>
      </c>
      <c r="B54" s="88" t="n">
        <f aca="false">INT(($A54-1)/DaysPerMonth)+1</f>
        <v>6</v>
      </c>
      <c r="C54" s="88" t="str">
        <f aca="false">MOD($A54-1,DaysPerMonth)+1&amp;" "&amp;CHOOSE($B54,"Jan","Feb","Mar","Apr","May","Jun","Jul","Aug","Sep","Oct","Nov","Dec")</f>
        <v>5 Jun</v>
      </c>
      <c r="D54" s="89" t="n">
        <v>13.54</v>
      </c>
      <c r="E54" s="89" t="n">
        <v>4.66</v>
      </c>
      <c r="F54" s="89" t="n">
        <v>22.84</v>
      </c>
      <c r="G54" s="90" t="n">
        <f aca="false">D54+GHBonus</f>
        <v>18.54</v>
      </c>
      <c r="H54" s="90" t="n">
        <f aca="false">E54+GHBonus</f>
        <v>9.66</v>
      </c>
      <c r="I54" s="90" t="n">
        <f aca="false">F54+GHBonus</f>
        <v>27.84</v>
      </c>
      <c r="J54" s="92" t="n">
        <f aca="false">IF(D54&lt;=0,1,0)</f>
        <v>0</v>
      </c>
      <c r="K54" s="87" t="str">
        <f aca="false">IF($F54&gt;25,"yes","")</f>
        <v/>
      </c>
    </row>
    <row r="55" customFormat="false" ht="15" hidden="false" customHeight="true" outlineLevel="0" collapsed="false">
      <c r="A55" s="87" t="n">
        <v>51</v>
      </c>
      <c r="B55" s="88" t="n">
        <f aca="false">INT(($A55-1)/DaysPerMonth)+1</f>
        <v>6</v>
      </c>
      <c r="C55" s="88" t="str">
        <f aca="false">MOD($A55-1,DaysPerMonth)+1&amp;" "&amp;CHOOSE($B55,"Jan","Feb","Mar","Apr","May","Jun","Jul","Aug","Sep","Oct","Nov","Dec")</f>
        <v>6 Jun</v>
      </c>
      <c r="D55" s="89" t="n">
        <v>14.19</v>
      </c>
      <c r="E55" s="89" t="n">
        <v>4.89</v>
      </c>
      <c r="F55" s="89" t="n">
        <v>23.73</v>
      </c>
      <c r="G55" s="90" t="n">
        <f aca="false">D55+GHBonus</f>
        <v>19.19</v>
      </c>
      <c r="H55" s="90" t="n">
        <f aca="false">E55+GHBonus</f>
        <v>9.89</v>
      </c>
      <c r="I55" s="90" t="n">
        <f aca="false">F55+GHBonus</f>
        <v>28.73</v>
      </c>
      <c r="J55" s="91" t="n">
        <f aca="false">IF(D55&lt;=0,1,0)</f>
        <v>0</v>
      </c>
      <c r="K55" s="87" t="str">
        <f aca="false">IF($F55&gt;25,"yes","")</f>
        <v/>
      </c>
    </row>
    <row r="56" customFormat="false" ht="15" hidden="false" customHeight="true" outlineLevel="0" collapsed="false">
      <c r="A56" s="87" t="n">
        <v>52</v>
      </c>
      <c r="B56" s="88" t="n">
        <f aca="false">INT(($A56-1)/DaysPerMonth)+1</f>
        <v>6</v>
      </c>
      <c r="C56" s="88" t="str">
        <f aca="false">MOD($A56-1,DaysPerMonth)+1&amp;" "&amp;CHOOSE($B56,"Jan","Feb","Mar","Apr","May","Jun","Jul","Aug","Sep","Oct","Nov","Dec")</f>
        <v>7 Jun</v>
      </c>
      <c r="D56" s="89" t="n">
        <v>14.33</v>
      </c>
      <c r="E56" s="89" t="n">
        <v>5.41</v>
      </c>
      <c r="F56" s="89" t="n">
        <v>23.45</v>
      </c>
      <c r="G56" s="90" t="n">
        <f aca="false">D56+GHBonus</f>
        <v>19.33</v>
      </c>
      <c r="H56" s="90" t="n">
        <f aca="false">E56+GHBonus</f>
        <v>10.41</v>
      </c>
      <c r="I56" s="90" t="n">
        <f aca="false">F56+GHBonus</f>
        <v>28.45</v>
      </c>
      <c r="J56" s="92" t="n">
        <f aca="false">IF(D56&lt;=0,1,0)</f>
        <v>0</v>
      </c>
      <c r="K56" s="87" t="str">
        <f aca="false">IF($F56&gt;25,"yes","")</f>
        <v/>
      </c>
    </row>
    <row r="57" customFormat="false" ht="15" hidden="false" customHeight="true" outlineLevel="0" collapsed="false">
      <c r="A57" s="87" t="n">
        <v>53</v>
      </c>
      <c r="B57" s="88" t="n">
        <f aca="false">INT(($A57-1)/DaysPerMonth)+1</f>
        <v>6</v>
      </c>
      <c r="C57" s="88" t="str">
        <f aca="false">MOD($A57-1,DaysPerMonth)+1&amp;" "&amp;CHOOSE($B57,"Jan","Feb","Mar","Apr","May","Jun","Jul","Aug","Sep","Oct","Nov","Dec")</f>
        <v>8 Jun</v>
      </c>
      <c r="D57" s="89" t="n">
        <v>14.57</v>
      </c>
      <c r="E57" s="89" t="n">
        <v>5.28</v>
      </c>
      <c r="F57" s="89" t="n">
        <v>23.99</v>
      </c>
      <c r="G57" s="90" t="n">
        <f aca="false">D57+GHBonus</f>
        <v>19.57</v>
      </c>
      <c r="H57" s="90" t="n">
        <f aca="false">E57+GHBonus</f>
        <v>10.28</v>
      </c>
      <c r="I57" s="90" t="n">
        <f aca="false">F57+GHBonus</f>
        <v>28.99</v>
      </c>
      <c r="J57" s="91" t="n">
        <f aca="false">IF(D57&lt;=0,1,0)</f>
        <v>0</v>
      </c>
      <c r="K57" s="87" t="str">
        <f aca="false">IF($F57&gt;25,"yes","")</f>
        <v/>
      </c>
    </row>
    <row r="58" customFormat="false" ht="15" hidden="false" customHeight="true" outlineLevel="0" collapsed="false">
      <c r="A58" s="87" t="n">
        <v>54</v>
      </c>
      <c r="B58" s="88" t="n">
        <f aca="false">INT(($A58-1)/DaysPerMonth)+1</f>
        <v>6</v>
      </c>
      <c r="C58" s="88" t="str">
        <f aca="false">MOD($A58-1,DaysPerMonth)+1&amp;" "&amp;CHOOSE($B58,"Jan","Feb","Mar","Apr","May","Jun","Jul","Aug","Sep","Oct","Nov","Dec")</f>
        <v>9 Jun</v>
      </c>
      <c r="D58" s="89" t="n">
        <v>14.2</v>
      </c>
      <c r="E58" s="89" t="n">
        <v>5.52</v>
      </c>
      <c r="F58" s="89" t="n">
        <v>22.79</v>
      </c>
      <c r="G58" s="90" t="n">
        <f aca="false">D58+GHBonus</f>
        <v>19.2</v>
      </c>
      <c r="H58" s="90" t="n">
        <f aca="false">E58+GHBonus</f>
        <v>10.52</v>
      </c>
      <c r="I58" s="90" t="n">
        <f aca="false">F58+GHBonus</f>
        <v>27.79</v>
      </c>
      <c r="J58" s="92" t="n">
        <f aca="false">IF(D58&lt;=0,1,0)</f>
        <v>0</v>
      </c>
      <c r="K58" s="87" t="str">
        <f aca="false">IF($F58&gt;25,"yes","")</f>
        <v/>
      </c>
    </row>
    <row r="59" customFormat="false" ht="15" hidden="false" customHeight="true" outlineLevel="0" collapsed="false">
      <c r="A59" s="87" t="n">
        <v>55</v>
      </c>
      <c r="B59" s="88" t="n">
        <f aca="false">INT(($A59-1)/DaysPerMonth)+1</f>
        <v>7</v>
      </c>
      <c r="C59" s="88" t="str">
        <f aca="false">MOD($A59-1,DaysPerMonth)+1&amp;" "&amp;CHOOSE($B59,"Jan","Feb","Mar","Apr","May","Jun","Jul","Aug","Sep","Oct","Nov","Dec")</f>
        <v>1 Jul</v>
      </c>
      <c r="D59" s="89" t="n">
        <v>14.94</v>
      </c>
      <c r="E59" s="89" t="n">
        <v>6.53</v>
      </c>
      <c r="F59" s="89" t="n">
        <v>24.07</v>
      </c>
      <c r="G59" s="90" t="n">
        <f aca="false">D59+GHBonus</f>
        <v>19.94</v>
      </c>
      <c r="H59" s="90" t="n">
        <f aca="false">E59+GHBonus</f>
        <v>11.53</v>
      </c>
      <c r="I59" s="90" t="n">
        <f aca="false">F59+GHBonus</f>
        <v>29.07</v>
      </c>
      <c r="J59" s="91" t="n">
        <f aca="false">IF(D59&lt;=0,1,0)</f>
        <v>0</v>
      </c>
      <c r="K59" s="87" t="str">
        <f aca="false">IF($F59&gt;25,"yes","")</f>
        <v/>
      </c>
    </row>
    <row r="60" customFormat="false" ht="15" hidden="false" customHeight="true" outlineLevel="0" collapsed="false">
      <c r="A60" s="87" t="n">
        <v>56</v>
      </c>
      <c r="B60" s="88" t="n">
        <f aca="false">INT(($A60-1)/DaysPerMonth)+1</f>
        <v>7</v>
      </c>
      <c r="C60" s="88" t="str">
        <f aca="false">MOD($A60-1,DaysPerMonth)+1&amp;" "&amp;CHOOSE($B60,"Jan","Feb","Mar","Apr","May","Jun","Jul","Aug","Sep","Oct","Nov","Dec")</f>
        <v>2 Jul</v>
      </c>
      <c r="D60" s="89" t="n">
        <v>14.31</v>
      </c>
      <c r="E60" s="89" t="n">
        <v>5.03</v>
      </c>
      <c r="F60" s="89" t="n">
        <v>23.44</v>
      </c>
      <c r="G60" s="90" t="n">
        <f aca="false">D60+GHBonus</f>
        <v>19.31</v>
      </c>
      <c r="H60" s="90" t="n">
        <f aca="false">E60+GHBonus</f>
        <v>10.03</v>
      </c>
      <c r="I60" s="90" t="n">
        <f aca="false">F60+GHBonus</f>
        <v>28.44</v>
      </c>
      <c r="J60" s="92" t="n">
        <f aca="false">IF(D60&lt;=0,1,0)</f>
        <v>0</v>
      </c>
      <c r="K60" s="87" t="str">
        <f aca="false">IF($F60&gt;25,"yes","")</f>
        <v/>
      </c>
    </row>
    <row r="61" customFormat="false" ht="15" hidden="false" customHeight="true" outlineLevel="0" collapsed="false">
      <c r="A61" s="87" t="n">
        <v>57</v>
      </c>
      <c r="B61" s="88" t="n">
        <f aca="false">INT(($A61-1)/DaysPerMonth)+1</f>
        <v>7</v>
      </c>
      <c r="C61" s="88" t="str">
        <f aca="false">MOD($A61-1,DaysPerMonth)+1&amp;" "&amp;CHOOSE($B61,"Jan","Feb","Mar","Apr","May","Jun","Jul","Aug","Sep","Oct","Nov","Dec")</f>
        <v>3 Jul</v>
      </c>
      <c r="D61" s="89" t="n">
        <v>14.16</v>
      </c>
      <c r="E61" s="89" t="n">
        <v>5.65</v>
      </c>
      <c r="F61" s="89" t="n">
        <v>22.84</v>
      </c>
      <c r="G61" s="90" t="n">
        <f aca="false">D61+GHBonus</f>
        <v>19.16</v>
      </c>
      <c r="H61" s="90" t="n">
        <f aca="false">E61+GHBonus</f>
        <v>10.65</v>
      </c>
      <c r="I61" s="90" t="n">
        <f aca="false">F61+GHBonus</f>
        <v>27.84</v>
      </c>
      <c r="J61" s="91" t="n">
        <f aca="false">IF(D61&lt;=0,1,0)</f>
        <v>0</v>
      </c>
      <c r="K61" s="87" t="str">
        <f aca="false">IF($F61&gt;25,"yes","")</f>
        <v/>
      </c>
    </row>
    <row r="62" customFormat="false" ht="15" hidden="false" customHeight="true" outlineLevel="0" collapsed="false">
      <c r="A62" s="87" t="n">
        <v>58</v>
      </c>
      <c r="B62" s="88" t="n">
        <f aca="false">INT(($A62-1)/DaysPerMonth)+1</f>
        <v>7</v>
      </c>
      <c r="C62" s="88" t="str">
        <f aca="false">MOD($A62-1,DaysPerMonth)+1&amp;" "&amp;CHOOSE($B62,"Jan","Feb","Mar","Apr","May","Jun","Jul","Aug","Sep","Oct","Nov","Dec")</f>
        <v>4 Jul</v>
      </c>
      <c r="D62" s="89" t="n">
        <v>14.94</v>
      </c>
      <c r="E62" s="89" t="n">
        <v>5.69</v>
      </c>
      <c r="F62" s="89" t="n">
        <v>23.79</v>
      </c>
      <c r="G62" s="90" t="n">
        <f aca="false">D62+GHBonus</f>
        <v>19.94</v>
      </c>
      <c r="H62" s="90" t="n">
        <f aca="false">E62+GHBonus</f>
        <v>10.69</v>
      </c>
      <c r="I62" s="90" t="n">
        <f aca="false">F62+GHBonus</f>
        <v>28.79</v>
      </c>
      <c r="J62" s="92" t="n">
        <f aca="false">IF(D62&lt;=0,1,0)</f>
        <v>0</v>
      </c>
      <c r="K62" s="87" t="str">
        <f aca="false">IF($F62&gt;25,"yes","")</f>
        <v/>
      </c>
    </row>
    <row r="63" customFormat="false" ht="15" hidden="false" customHeight="true" outlineLevel="0" collapsed="false">
      <c r="A63" s="87" t="n">
        <v>59</v>
      </c>
      <c r="B63" s="88" t="n">
        <f aca="false">INT(($A63-1)/DaysPerMonth)+1</f>
        <v>7</v>
      </c>
      <c r="C63" s="88" t="str">
        <f aca="false">MOD($A63-1,DaysPerMonth)+1&amp;" "&amp;CHOOSE($B63,"Jan","Feb","Mar","Apr","May","Jun","Jul","Aug","Sep","Oct","Nov","Dec")</f>
        <v>5 Jul</v>
      </c>
      <c r="D63" s="89" t="n">
        <v>14.08</v>
      </c>
      <c r="E63" s="89" t="n">
        <v>5.39</v>
      </c>
      <c r="F63" s="89" t="n">
        <v>23.15</v>
      </c>
      <c r="G63" s="90" t="n">
        <f aca="false">D63+GHBonus</f>
        <v>19.08</v>
      </c>
      <c r="H63" s="90" t="n">
        <f aca="false">E63+GHBonus</f>
        <v>10.39</v>
      </c>
      <c r="I63" s="90" t="n">
        <f aca="false">F63+GHBonus</f>
        <v>28.15</v>
      </c>
      <c r="J63" s="91" t="n">
        <f aca="false">IF(D63&lt;=0,1,0)</f>
        <v>0</v>
      </c>
      <c r="K63" s="87" t="str">
        <f aca="false">IF($F63&gt;25,"yes","")</f>
        <v/>
      </c>
    </row>
    <row r="64" customFormat="false" ht="15" hidden="false" customHeight="true" outlineLevel="0" collapsed="false">
      <c r="A64" s="87" t="n">
        <v>60</v>
      </c>
      <c r="B64" s="88" t="n">
        <f aca="false">INT(($A64-1)/DaysPerMonth)+1</f>
        <v>7</v>
      </c>
      <c r="C64" s="88" t="str">
        <f aca="false">MOD($A64-1,DaysPerMonth)+1&amp;" "&amp;CHOOSE($B64,"Jan","Feb","Mar","Apr","May","Jun","Jul","Aug","Sep","Oct","Nov","Dec")</f>
        <v>6 Jul</v>
      </c>
      <c r="D64" s="89" t="n">
        <v>14.65</v>
      </c>
      <c r="E64" s="89" t="n">
        <v>5.12</v>
      </c>
      <c r="F64" s="89" t="n">
        <v>23.96</v>
      </c>
      <c r="G64" s="90" t="n">
        <f aca="false">D64+GHBonus</f>
        <v>19.65</v>
      </c>
      <c r="H64" s="90" t="n">
        <f aca="false">E64+GHBonus</f>
        <v>10.12</v>
      </c>
      <c r="I64" s="90" t="n">
        <f aca="false">F64+GHBonus</f>
        <v>28.96</v>
      </c>
      <c r="J64" s="92" t="n">
        <f aca="false">IF(D64&lt;=0,1,0)</f>
        <v>0</v>
      </c>
      <c r="K64" s="87" t="str">
        <f aca="false">IF($F64&gt;25,"yes","")</f>
        <v/>
      </c>
    </row>
    <row r="65" customFormat="false" ht="15" hidden="false" customHeight="true" outlineLevel="0" collapsed="false">
      <c r="A65" s="87" t="n">
        <v>61</v>
      </c>
      <c r="B65" s="88" t="n">
        <f aca="false">INT(($A65-1)/DaysPerMonth)+1</f>
        <v>7</v>
      </c>
      <c r="C65" s="88" t="str">
        <f aca="false">MOD($A65-1,DaysPerMonth)+1&amp;" "&amp;CHOOSE($B65,"Jan","Feb","Mar","Apr","May","Jun","Jul","Aug","Sep","Oct","Nov","Dec")</f>
        <v>7 Jul</v>
      </c>
      <c r="D65" s="89" t="n">
        <v>15</v>
      </c>
      <c r="E65" s="89" t="n">
        <v>5.93</v>
      </c>
      <c r="F65" s="89" t="n">
        <v>24.64</v>
      </c>
      <c r="G65" s="90" t="n">
        <f aca="false">D65+GHBonus</f>
        <v>20</v>
      </c>
      <c r="H65" s="90" t="n">
        <f aca="false">E65+GHBonus</f>
        <v>10.93</v>
      </c>
      <c r="I65" s="90" t="n">
        <f aca="false">F65+GHBonus</f>
        <v>29.64</v>
      </c>
      <c r="J65" s="91" t="n">
        <f aca="false">IF(D65&lt;=0,1,0)</f>
        <v>0</v>
      </c>
      <c r="K65" s="87" t="str">
        <f aca="false">IF($F65&gt;25,"yes","")</f>
        <v/>
      </c>
    </row>
    <row r="66" customFormat="false" ht="15" hidden="false" customHeight="true" outlineLevel="0" collapsed="false">
      <c r="A66" s="87" t="n">
        <v>62</v>
      </c>
      <c r="B66" s="88" t="n">
        <f aca="false">INT(($A66-1)/DaysPerMonth)+1</f>
        <v>7</v>
      </c>
      <c r="C66" s="88" t="str">
        <f aca="false">MOD($A66-1,DaysPerMonth)+1&amp;" "&amp;CHOOSE($B66,"Jan","Feb","Mar","Apr","May","Jun","Jul","Aug","Sep","Oct","Nov","Dec")</f>
        <v>8 Jul</v>
      </c>
      <c r="D66" s="89" t="n">
        <v>14.59</v>
      </c>
      <c r="E66" s="89" t="n">
        <v>5.55</v>
      </c>
      <c r="F66" s="89" t="n">
        <v>22.89</v>
      </c>
      <c r="G66" s="90" t="n">
        <f aca="false">D66+GHBonus</f>
        <v>19.59</v>
      </c>
      <c r="H66" s="90" t="n">
        <f aca="false">E66+GHBonus</f>
        <v>10.55</v>
      </c>
      <c r="I66" s="90" t="n">
        <f aca="false">F66+GHBonus</f>
        <v>27.89</v>
      </c>
      <c r="J66" s="92" t="n">
        <f aca="false">IF(D66&lt;=0,1,0)</f>
        <v>0</v>
      </c>
      <c r="K66" s="87" t="str">
        <f aca="false">IF($F66&gt;25,"yes","")</f>
        <v/>
      </c>
    </row>
    <row r="67" customFormat="false" ht="15" hidden="false" customHeight="true" outlineLevel="0" collapsed="false">
      <c r="A67" s="87" t="n">
        <v>63</v>
      </c>
      <c r="B67" s="88" t="n">
        <f aca="false">INT(($A67-1)/DaysPerMonth)+1</f>
        <v>7</v>
      </c>
      <c r="C67" s="88" t="str">
        <f aca="false">MOD($A67-1,DaysPerMonth)+1&amp;" "&amp;CHOOSE($B67,"Jan","Feb","Mar","Apr","May","Jun","Jul","Aug","Sep","Oct","Nov","Dec")</f>
        <v>9 Jul</v>
      </c>
      <c r="D67" s="89" t="n">
        <v>15.25</v>
      </c>
      <c r="E67" s="89" t="n">
        <v>6</v>
      </c>
      <c r="F67" s="89" t="n">
        <v>23.96</v>
      </c>
      <c r="G67" s="90" t="n">
        <f aca="false">D67+GHBonus</f>
        <v>20.25</v>
      </c>
      <c r="H67" s="90" t="n">
        <f aca="false">E67+GHBonus</f>
        <v>11</v>
      </c>
      <c r="I67" s="90" t="n">
        <f aca="false">F67+GHBonus</f>
        <v>28.96</v>
      </c>
      <c r="J67" s="91" t="n">
        <f aca="false">IF(D67&lt;=0,1,0)</f>
        <v>0</v>
      </c>
      <c r="K67" s="87" t="str">
        <f aca="false">IF($F67&gt;25,"yes","")</f>
        <v/>
      </c>
    </row>
    <row r="68" customFormat="false" ht="15" hidden="false" customHeight="true" outlineLevel="0" collapsed="false">
      <c r="A68" s="87" t="n">
        <v>64</v>
      </c>
      <c r="B68" s="88" t="n">
        <f aca="false">INT(($A68-1)/DaysPerMonth)+1</f>
        <v>8</v>
      </c>
      <c r="C68" s="88" t="str">
        <f aca="false">MOD($A68-1,DaysPerMonth)+1&amp;" "&amp;CHOOSE($B68,"Jan","Feb","Mar","Apr","May","Jun","Jul","Aug","Sep","Oct","Nov","Dec")</f>
        <v>1 Aug</v>
      </c>
      <c r="D68" s="89" t="n">
        <v>15.19</v>
      </c>
      <c r="E68" s="89" t="n">
        <v>6.43</v>
      </c>
      <c r="F68" s="89" t="n">
        <v>23.97</v>
      </c>
      <c r="G68" s="90" t="n">
        <f aca="false">D68+GHBonus</f>
        <v>20.19</v>
      </c>
      <c r="H68" s="90" t="n">
        <f aca="false">E68+GHBonus</f>
        <v>11.43</v>
      </c>
      <c r="I68" s="90" t="n">
        <f aca="false">F68+GHBonus</f>
        <v>28.97</v>
      </c>
      <c r="J68" s="92" t="n">
        <f aca="false">IF(D68&lt;=0,1,0)</f>
        <v>0</v>
      </c>
      <c r="K68" s="87" t="str">
        <f aca="false">IF($F68&gt;25,"yes","")</f>
        <v/>
      </c>
    </row>
    <row r="69" customFormat="false" ht="15" hidden="false" customHeight="true" outlineLevel="0" collapsed="false">
      <c r="A69" s="87" t="n">
        <v>65</v>
      </c>
      <c r="B69" s="88" t="n">
        <f aca="false">INT(($A69-1)/DaysPerMonth)+1</f>
        <v>8</v>
      </c>
      <c r="C69" s="88" t="str">
        <f aca="false">MOD($A69-1,DaysPerMonth)+1&amp;" "&amp;CHOOSE($B69,"Jan","Feb","Mar","Apr","May","Jun","Jul","Aug","Sep","Oct","Nov","Dec")</f>
        <v>2 Aug</v>
      </c>
      <c r="D69" s="89" t="n">
        <v>14.16</v>
      </c>
      <c r="E69" s="89" t="n">
        <v>5.79</v>
      </c>
      <c r="F69" s="89" t="n">
        <v>22.3</v>
      </c>
      <c r="G69" s="90" t="n">
        <f aca="false">D69+GHBonus</f>
        <v>19.16</v>
      </c>
      <c r="H69" s="90" t="n">
        <f aca="false">E69+GHBonus</f>
        <v>10.79</v>
      </c>
      <c r="I69" s="90" t="n">
        <f aca="false">F69+GHBonus</f>
        <v>27.3</v>
      </c>
      <c r="J69" s="91" t="n">
        <f aca="false">IF(D69&lt;=0,1,0)</f>
        <v>0</v>
      </c>
      <c r="K69" s="87" t="str">
        <f aca="false">IF($F69&gt;25,"yes","")</f>
        <v/>
      </c>
    </row>
    <row r="70" customFormat="false" ht="15" hidden="false" customHeight="true" outlineLevel="0" collapsed="false">
      <c r="A70" s="87" t="n">
        <v>66</v>
      </c>
      <c r="B70" s="88" t="n">
        <f aca="false">INT(($A70-1)/DaysPerMonth)+1</f>
        <v>8</v>
      </c>
      <c r="C70" s="88" t="str">
        <f aca="false">MOD($A70-1,DaysPerMonth)+1&amp;" "&amp;CHOOSE($B70,"Jan","Feb","Mar","Apr","May","Jun","Jul","Aug","Sep","Oct","Nov","Dec")</f>
        <v>3 Aug</v>
      </c>
      <c r="D70" s="89" t="n">
        <v>13.79</v>
      </c>
      <c r="E70" s="89" t="n">
        <v>4.73</v>
      </c>
      <c r="F70" s="89" t="n">
        <v>23</v>
      </c>
      <c r="G70" s="90" t="n">
        <f aca="false">D70+GHBonus</f>
        <v>18.79</v>
      </c>
      <c r="H70" s="90" t="n">
        <f aca="false">E70+GHBonus</f>
        <v>9.73</v>
      </c>
      <c r="I70" s="90" t="n">
        <f aca="false">F70+GHBonus</f>
        <v>28</v>
      </c>
      <c r="J70" s="92" t="n">
        <f aca="false">IF(D70&lt;=0,1,0)</f>
        <v>0</v>
      </c>
      <c r="K70" s="87" t="str">
        <f aca="false">IF($F70&gt;25,"yes","")</f>
        <v/>
      </c>
    </row>
    <row r="71" customFormat="false" ht="15" hidden="false" customHeight="true" outlineLevel="0" collapsed="false">
      <c r="A71" s="87" t="n">
        <v>67</v>
      </c>
      <c r="B71" s="88" t="n">
        <f aca="false">INT(($A71-1)/DaysPerMonth)+1</f>
        <v>8</v>
      </c>
      <c r="C71" s="88" t="str">
        <f aca="false">MOD($A71-1,DaysPerMonth)+1&amp;" "&amp;CHOOSE($B71,"Jan","Feb","Mar","Apr","May","Jun","Jul","Aug","Sep","Oct","Nov","Dec")</f>
        <v>4 Aug</v>
      </c>
      <c r="D71" s="89" t="n">
        <v>13.72</v>
      </c>
      <c r="E71" s="89" t="n">
        <v>4.21</v>
      </c>
      <c r="F71" s="89" t="n">
        <v>23.03</v>
      </c>
      <c r="G71" s="90" t="n">
        <f aca="false">D71+GHBonus</f>
        <v>18.72</v>
      </c>
      <c r="H71" s="90" t="n">
        <f aca="false">E71+GHBonus</f>
        <v>9.21</v>
      </c>
      <c r="I71" s="90" t="n">
        <f aca="false">F71+GHBonus</f>
        <v>28.03</v>
      </c>
      <c r="J71" s="91" t="n">
        <f aca="false">IF(D71&lt;=0,1,0)</f>
        <v>0</v>
      </c>
      <c r="K71" s="87" t="str">
        <f aca="false">IF($F71&gt;25,"yes","")</f>
        <v/>
      </c>
    </row>
    <row r="72" customFormat="false" ht="15" hidden="false" customHeight="true" outlineLevel="0" collapsed="false">
      <c r="A72" s="87" t="n">
        <v>68</v>
      </c>
      <c r="B72" s="88" t="n">
        <f aca="false">INT(($A72-1)/DaysPerMonth)+1</f>
        <v>8</v>
      </c>
      <c r="C72" s="88" t="str">
        <f aca="false">MOD($A72-1,DaysPerMonth)+1&amp;" "&amp;CHOOSE($B72,"Jan","Feb","Mar","Apr","May","Jun","Jul","Aug","Sep","Oct","Nov","Dec")</f>
        <v>5 Aug</v>
      </c>
      <c r="D72" s="89" t="n">
        <v>13.29</v>
      </c>
      <c r="E72" s="89" t="n">
        <v>3.79</v>
      </c>
      <c r="F72" s="89" t="n">
        <v>22.52</v>
      </c>
      <c r="G72" s="90" t="n">
        <f aca="false">D72+GHBonus</f>
        <v>18.29</v>
      </c>
      <c r="H72" s="90" t="n">
        <f aca="false">E72+GHBonus</f>
        <v>8.79</v>
      </c>
      <c r="I72" s="90" t="n">
        <f aca="false">F72+GHBonus</f>
        <v>27.52</v>
      </c>
      <c r="J72" s="92" t="n">
        <f aca="false">IF(D72&lt;=0,1,0)</f>
        <v>0</v>
      </c>
      <c r="K72" s="87" t="str">
        <f aca="false">IF($F72&gt;25,"yes","")</f>
        <v/>
      </c>
    </row>
    <row r="73" customFormat="false" ht="15" hidden="false" customHeight="true" outlineLevel="0" collapsed="false">
      <c r="A73" s="87" t="n">
        <v>69</v>
      </c>
      <c r="B73" s="88" t="n">
        <f aca="false">INT(($A73-1)/DaysPerMonth)+1</f>
        <v>8</v>
      </c>
      <c r="C73" s="88" t="str">
        <f aca="false">MOD($A73-1,DaysPerMonth)+1&amp;" "&amp;CHOOSE($B73,"Jan","Feb","Mar","Apr","May","Jun","Jul","Aug","Sep","Oct","Nov","Dec")</f>
        <v>6 Aug</v>
      </c>
      <c r="D73" s="89" t="n">
        <v>12.38</v>
      </c>
      <c r="E73" s="89" t="n">
        <v>3.83</v>
      </c>
      <c r="F73" s="89" t="n">
        <v>20.12</v>
      </c>
      <c r="G73" s="90" t="n">
        <f aca="false">D73+GHBonus</f>
        <v>17.38</v>
      </c>
      <c r="H73" s="90" t="n">
        <f aca="false">E73+GHBonus</f>
        <v>8.83</v>
      </c>
      <c r="I73" s="90" t="n">
        <f aca="false">F73+GHBonus</f>
        <v>25.12</v>
      </c>
      <c r="J73" s="91" t="n">
        <f aca="false">IF(D73&lt;=0,1,0)</f>
        <v>0</v>
      </c>
      <c r="K73" s="87" t="str">
        <f aca="false">IF($F73&gt;25,"yes","")</f>
        <v/>
      </c>
    </row>
    <row r="74" customFormat="false" ht="15" hidden="false" customHeight="true" outlineLevel="0" collapsed="false">
      <c r="A74" s="87" t="n">
        <v>70</v>
      </c>
      <c r="B74" s="88" t="n">
        <f aca="false">INT(($A74-1)/DaysPerMonth)+1</f>
        <v>8</v>
      </c>
      <c r="C74" s="88" t="str">
        <f aca="false">MOD($A74-1,DaysPerMonth)+1&amp;" "&amp;CHOOSE($B74,"Jan","Feb","Mar","Apr","May","Jun","Jul","Aug","Sep","Oct","Nov","Dec")</f>
        <v>7 Aug</v>
      </c>
      <c r="D74" s="89" t="n">
        <v>12.36</v>
      </c>
      <c r="E74" s="89" t="n">
        <v>3.62</v>
      </c>
      <c r="F74" s="89" t="n">
        <v>21.28</v>
      </c>
      <c r="G74" s="90" t="n">
        <f aca="false">D74+GHBonus</f>
        <v>17.36</v>
      </c>
      <c r="H74" s="90" t="n">
        <f aca="false">E74+GHBonus</f>
        <v>8.62</v>
      </c>
      <c r="I74" s="90" t="n">
        <f aca="false">F74+GHBonus</f>
        <v>26.28</v>
      </c>
      <c r="J74" s="92" t="n">
        <f aca="false">IF(D74&lt;=0,1,0)</f>
        <v>0</v>
      </c>
      <c r="K74" s="87" t="str">
        <f aca="false">IF($F74&gt;25,"yes","")</f>
        <v/>
      </c>
    </row>
    <row r="75" customFormat="false" ht="15" hidden="false" customHeight="true" outlineLevel="0" collapsed="false">
      <c r="A75" s="87" t="n">
        <v>71</v>
      </c>
      <c r="B75" s="88" t="n">
        <f aca="false">INT(($A75-1)/DaysPerMonth)+1</f>
        <v>8</v>
      </c>
      <c r="C75" s="88" t="str">
        <f aca="false">MOD($A75-1,DaysPerMonth)+1&amp;" "&amp;CHOOSE($B75,"Jan","Feb","Mar","Apr","May","Jun","Jul","Aug","Sep","Oct","Nov","Dec")</f>
        <v>8 Aug</v>
      </c>
      <c r="D75" s="89" t="n">
        <v>11.85</v>
      </c>
      <c r="E75" s="89" t="n">
        <v>2.55</v>
      </c>
      <c r="F75" s="89" t="n">
        <v>20.85</v>
      </c>
      <c r="G75" s="90" t="n">
        <f aca="false">D75+GHBonus</f>
        <v>16.85</v>
      </c>
      <c r="H75" s="90" t="n">
        <f aca="false">E75+GHBonus</f>
        <v>7.55</v>
      </c>
      <c r="I75" s="90" t="n">
        <f aca="false">F75+GHBonus</f>
        <v>25.85</v>
      </c>
      <c r="J75" s="91" t="n">
        <f aca="false">IF(D75&lt;=0,1,0)</f>
        <v>0</v>
      </c>
      <c r="K75" s="87" t="str">
        <f aca="false">IF($F75&gt;25,"yes","")</f>
        <v/>
      </c>
    </row>
    <row r="76" customFormat="false" ht="15" hidden="false" customHeight="true" outlineLevel="0" collapsed="false">
      <c r="A76" s="87" t="n">
        <v>72</v>
      </c>
      <c r="B76" s="88" t="n">
        <f aca="false">INT(($A76-1)/DaysPerMonth)+1</f>
        <v>8</v>
      </c>
      <c r="C76" s="88" t="str">
        <f aca="false">MOD($A76-1,DaysPerMonth)+1&amp;" "&amp;CHOOSE($B76,"Jan","Feb","Mar","Apr","May","Jun","Jul","Aug","Sep","Oct","Nov","Dec")</f>
        <v>9 Aug</v>
      </c>
      <c r="D76" s="89" t="n">
        <v>11.01</v>
      </c>
      <c r="E76" s="89" t="n">
        <v>2.84</v>
      </c>
      <c r="F76" s="89" t="n">
        <v>19.07</v>
      </c>
      <c r="G76" s="90" t="n">
        <f aca="false">D76+GHBonus</f>
        <v>16.01</v>
      </c>
      <c r="H76" s="90" t="n">
        <f aca="false">E76+GHBonus</f>
        <v>7.84</v>
      </c>
      <c r="I76" s="90" t="n">
        <f aca="false">F76+GHBonus</f>
        <v>24.07</v>
      </c>
      <c r="J76" s="92" t="n">
        <f aca="false">IF(D76&lt;=0,1,0)</f>
        <v>0</v>
      </c>
      <c r="K76" s="87" t="str">
        <f aca="false">IF($F76&gt;25,"yes","")</f>
        <v/>
      </c>
    </row>
    <row r="77" customFormat="false" ht="15" hidden="false" customHeight="true" outlineLevel="0" collapsed="false">
      <c r="A77" s="87" t="n">
        <v>73</v>
      </c>
      <c r="B77" s="88" t="n">
        <f aca="false">INT(($A77-1)/DaysPerMonth)+1</f>
        <v>9</v>
      </c>
      <c r="C77" s="88" t="str">
        <f aca="false">MOD($A77-1,DaysPerMonth)+1&amp;" "&amp;CHOOSE($B77,"Jan","Feb","Mar","Apr","May","Jun","Jul","Aug","Sep","Oct","Nov","Dec")</f>
        <v>1 Sep</v>
      </c>
      <c r="D77" s="89" t="n">
        <v>10.83</v>
      </c>
      <c r="E77" s="89" t="n">
        <v>1.96</v>
      </c>
      <c r="F77" s="89" t="n">
        <v>20.35</v>
      </c>
      <c r="G77" s="90" t="n">
        <f aca="false">D77+GHBonus</f>
        <v>15.83</v>
      </c>
      <c r="H77" s="90" t="n">
        <f aca="false">E77+GHBonus</f>
        <v>6.96</v>
      </c>
      <c r="I77" s="90" t="n">
        <f aca="false">F77+GHBonus</f>
        <v>25.35</v>
      </c>
      <c r="J77" s="91" t="n">
        <f aca="false">IF(D77&lt;=0,1,0)</f>
        <v>0</v>
      </c>
      <c r="K77" s="87" t="str">
        <f aca="false">IF($F77&gt;25,"yes","")</f>
        <v/>
      </c>
    </row>
    <row r="78" customFormat="false" ht="15" hidden="false" customHeight="true" outlineLevel="0" collapsed="false">
      <c r="A78" s="87" t="n">
        <v>74</v>
      </c>
      <c r="B78" s="88" t="n">
        <f aca="false">INT(($A78-1)/DaysPerMonth)+1</f>
        <v>9</v>
      </c>
      <c r="C78" s="88" t="str">
        <f aca="false">MOD($A78-1,DaysPerMonth)+1&amp;" "&amp;CHOOSE($B78,"Jan","Feb","Mar","Apr","May","Jun","Jul","Aug","Sep","Oct","Nov","Dec")</f>
        <v>2 Sep</v>
      </c>
      <c r="D78" s="89" t="n">
        <v>10.5</v>
      </c>
      <c r="E78" s="89" t="n">
        <v>2.03</v>
      </c>
      <c r="F78" s="89" t="n">
        <v>19.2</v>
      </c>
      <c r="G78" s="90" t="n">
        <f aca="false">D78+GHBonus</f>
        <v>15.5</v>
      </c>
      <c r="H78" s="90" t="n">
        <f aca="false">E78+GHBonus</f>
        <v>7.03</v>
      </c>
      <c r="I78" s="90" t="n">
        <f aca="false">F78+GHBonus</f>
        <v>24.2</v>
      </c>
      <c r="J78" s="92" t="n">
        <f aca="false">IF(D78&lt;=0,1,0)</f>
        <v>0</v>
      </c>
      <c r="K78" s="87" t="str">
        <f aca="false">IF($F78&gt;25,"yes","")</f>
        <v/>
      </c>
    </row>
    <row r="79" customFormat="false" ht="15" hidden="false" customHeight="true" outlineLevel="0" collapsed="false">
      <c r="A79" s="87" t="n">
        <v>75</v>
      </c>
      <c r="B79" s="88" t="n">
        <f aca="false">INT(($A79-1)/DaysPerMonth)+1</f>
        <v>9</v>
      </c>
      <c r="C79" s="88" t="str">
        <f aca="false">MOD($A79-1,DaysPerMonth)+1&amp;" "&amp;CHOOSE($B79,"Jan","Feb","Mar","Apr","May","Jun","Jul","Aug","Sep","Oct","Nov","Dec")</f>
        <v>3 Sep</v>
      </c>
      <c r="D79" s="89" t="n">
        <v>8.35</v>
      </c>
      <c r="E79" s="89" t="n">
        <v>-0.84</v>
      </c>
      <c r="F79" s="89" t="n">
        <v>17.13</v>
      </c>
      <c r="G79" s="90" t="n">
        <f aca="false">D79+GHBonus</f>
        <v>13.35</v>
      </c>
      <c r="H79" s="90" t="n">
        <f aca="false">E79+GHBonus</f>
        <v>4.16</v>
      </c>
      <c r="I79" s="90" t="n">
        <f aca="false">F79+GHBonus</f>
        <v>22.13</v>
      </c>
      <c r="J79" s="91" t="n">
        <f aca="false">IF(D79&lt;=0,1,0)</f>
        <v>0</v>
      </c>
      <c r="K79" s="87" t="str">
        <f aca="false">IF($F79&gt;25,"yes","")</f>
        <v/>
      </c>
    </row>
    <row r="80" customFormat="false" ht="15" hidden="false" customHeight="true" outlineLevel="0" collapsed="false">
      <c r="A80" s="87" t="n">
        <v>76</v>
      </c>
      <c r="B80" s="88" t="n">
        <f aca="false">INT(($A80-1)/DaysPerMonth)+1</f>
        <v>9</v>
      </c>
      <c r="C80" s="88" t="str">
        <f aca="false">MOD($A80-1,DaysPerMonth)+1&amp;" "&amp;CHOOSE($B80,"Jan","Feb","Mar","Apr","May","Jun","Jul","Aug","Sep","Oct","Nov","Dec")</f>
        <v>4 Sep</v>
      </c>
      <c r="D80" s="89" t="n">
        <v>8.71</v>
      </c>
      <c r="E80" s="89" t="n">
        <v>0.63</v>
      </c>
      <c r="F80" s="89" t="n">
        <v>16.69</v>
      </c>
      <c r="G80" s="90" t="n">
        <f aca="false">D80+GHBonus</f>
        <v>13.71</v>
      </c>
      <c r="H80" s="90" t="n">
        <f aca="false">E80+GHBonus</f>
        <v>5.63</v>
      </c>
      <c r="I80" s="90" t="n">
        <f aca="false">F80+GHBonus</f>
        <v>21.69</v>
      </c>
      <c r="J80" s="92" t="n">
        <f aca="false">IF(D80&lt;=0,1,0)</f>
        <v>0</v>
      </c>
      <c r="K80" s="87" t="str">
        <f aca="false">IF($F80&gt;25,"yes","")</f>
        <v/>
      </c>
    </row>
    <row r="81" customFormat="false" ht="15" hidden="false" customHeight="true" outlineLevel="0" collapsed="false">
      <c r="A81" s="87" t="n">
        <v>77</v>
      </c>
      <c r="B81" s="88" t="n">
        <f aca="false">INT(($A81-1)/DaysPerMonth)+1</f>
        <v>9</v>
      </c>
      <c r="C81" s="88" t="str">
        <f aca="false">MOD($A81-1,DaysPerMonth)+1&amp;" "&amp;CHOOSE($B81,"Jan","Feb","Mar","Apr","May","Jun","Jul","Aug","Sep","Oct","Nov","Dec")</f>
        <v>5 Sep</v>
      </c>
      <c r="D81" s="89" t="n">
        <v>7.46</v>
      </c>
      <c r="E81" s="89" t="n">
        <v>-0.6</v>
      </c>
      <c r="F81" s="89" t="n">
        <v>15.77</v>
      </c>
      <c r="G81" s="90" t="n">
        <f aca="false">D81+GHBonus</f>
        <v>12.46</v>
      </c>
      <c r="H81" s="90" t="n">
        <f aca="false">E81+GHBonus</f>
        <v>4.4</v>
      </c>
      <c r="I81" s="90" t="n">
        <f aca="false">F81+GHBonus</f>
        <v>20.77</v>
      </c>
      <c r="J81" s="91" t="n">
        <f aca="false">IF(D81&lt;=0,1,0)</f>
        <v>0</v>
      </c>
      <c r="K81" s="87" t="str">
        <f aca="false">IF($F81&gt;25,"yes","")</f>
        <v/>
      </c>
    </row>
    <row r="82" customFormat="false" ht="15" hidden="false" customHeight="true" outlineLevel="0" collapsed="false">
      <c r="A82" s="87" t="n">
        <v>78</v>
      </c>
      <c r="B82" s="88" t="n">
        <f aca="false">INT(($A82-1)/DaysPerMonth)+1</f>
        <v>9</v>
      </c>
      <c r="C82" s="88" t="str">
        <f aca="false">MOD($A82-1,DaysPerMonth)+1&amp;" "&amp;CHOOSE($B82,"Jan","Feb","Mar","Apr","May","Jun","Jul","Aug","Sep","Oct","Nov","Dec")</f>
        <v>6 Sep</v>
      </c>
      <c r="D82" s="89" t="n">
        <v>5.84</v>
      </c>
      <c r="E82" s="89" t="n">
        <v>-1.85</v>
      </c>
      <c r="F82" s="89" t="n">
        <v>14.08</v>
      </c>
      <c r="G82" s="90" t="n">
        <f aca="false">D82+GHBonus</f>
        <v>10.84</v>
      </c>
      <c r="H82" s="90" t="n">
        <f aca="false">E82+GHBonus</f>
        <v>3.15</v>
      </c>
      <c r="I82" s="90" t="n">
        <f aca="false">F82+GHBonus</f>
        <v>19.08</v>
      </c>
      <c r="J82" s="92" t="n">
        <f aca="false">IF(D82&lt;=0,1,0)</f>
        <v>0</v>
      </c>
      <c r="K82" s="87" t="str">
        <f aca="false">IF($F82&gt;25,"yes","")</f>
        <v/>
      </c>
    </row>
    <row r="83" customFormat="false" ht="15" hidden="false" customHeight="true" outlineLevel="0" collapsed="false">
      <c r="A83" s="87" t="n">
        <v>79</v>
      </c>
      <c r="B83" s="88" t="n">
        <f aca="false">INT(($A83-1)/DaysPerMonth)+1</f>
        <v>9</v>
      </c>
      <c r="C83" s="88" t="str">
        <f aca="false">MOD($A83-1,DaysPerMonth)+1&amp;" "&amp;CHOOSE($B83,"Jan","Feb","Mar","Apr","May","Jun","Jul","Aug","Sep","Oct","Nov","Dec")</f>
        <v>7 Sep</v>
      </c>
      <c r="D83" s="89" t="n">
        <v>4.72</v>
      </c>
      <c r="E83" s="89" t="n">
        <v>-4.02</v>
      </c>
      <c r="F83" s="89" t="n">
        <v>13.81</v>
      </c>
      <c r="G83" s="90" t="n">
        <f aca="false">D83+GHBonus</f>
        <v>9.72</v>
      </c>
      <c r="H83" s="90" t="n">
        <f aca="false">E83+GHBonus</f>
        <v>0.98</v>
      </c>
      <c r="I83" s="90" t="n">
        <f aca="false">F83+GHBonus</f>
        <v>18.81</v>
      </c>
      <c r="J83" s="91" t="n">
        <f aca="false">IF(D83&lt;=0,1,0)</f>
        <v>0</v>
      </c>
      <c r="K83" s="87" t="str">
        <f aca="false">IF($F83&gt;25,"yes","")</f>
        <v/>
      </c>
    </row>
    <row r="84" customFormat="false" ht="15" hidden="false" customHeight="true" outlineLevel="0" collapsed="false">
      <c r="A84" s="87" t="n">
        <v>80</v>
      </c>
      <c r="B84" s="88" t="n">
        <f aca="false">INT(($A84-1)/DaysPerMonth)+1</f>
        <v>9</v>
      </c>
      <c r="C84" s="88" t="str">
        <f aca="false">MOD($A84-1,DaysPerMonth)+1&amp;" "&amp;CHOOSE($B84,"Jan","Feb","Mar","Apr","May","Jun","Jul","Aug","Sep","Oct","Nov","Dec")</f>
        <v>8 Sep</v>
      </c>
      <c r="D84" s="89" t="n">
        <v>3.6</v>
      </c>
      <c r="E84" s="89" t="n">
        <v>-4.8</v>
      </c>
      <c r="F84" s="89" t="n">
        <v>11.84</v>
      </c>
      <c r="G84" s="90" t="n">
        <f aca="false">D84+GHBonus</f>
        <v>8.6</v>
      </c>
      <c r="H84" s="90" t="n">
        <f aca="false">E84+GHBonus</f>
        <v>0.2</v>
      </c>
      <c r="I84" s="90" t="n">
        <f aca="false">F84+GHBonus</f>
        <v>16.84</v>
      </c>
      <c r="J84" s="92" t="n">
        <f aca="false">IF(D84&lt;=0,1,0)</f>
        <v>0</v>
      </c>
      <c r="K84" s="87" t="str">
        <f aca="false">IF($F84&gt;25,"yes","")</f>
        <v/>
      </c>
    </row>
    <row r="85" customFormat="false" ht="15" hidden="false" customHeight="true" outlineLevel="0" collapsed="false">
      <c r="A85" s="87" t="n">
        <v>81</v>
      </c>
      <c r="B85" s="88" t="n">
        <f aca="false">INT(($A85-1)/DaysPerMonth)+1</f>
        <v>9</v>
      </c>
      <c r="C85" s="88" t="str">
        <f aca="false">MOD($A85-1,DaysPerMonth)+1&amp;" "&amp;CHOOSE($B85,"Jan","Feb","Mar","Apr","May","Jun","Jul","Aug","Sep","Oct","Nov","Dec")</f>
        <v>9 Sep</v>
      </c>
      <c r="D85" s="89" t="n">
        <v>2.71</v>
      </c>
      <c r="E85" s="89" t="n">
        <v>-6.2</v>
      </c>
      <c r="F85" s="89" t="n">
        <v>11.62</v>
      </c>
      <c r="G85" s="90" t="n">
        <f aca="false">D85+GHBonus</f>
        <v>7.71</v>
      </c>
      <c r="H85" s="90" t="n">
        <f aca="false">E85+GHBonus</f>
        <v>-1.2</v>
      </c>
      <c r="I85" s="90" t="n">
        <f aca="false">F85+GHBonus</f>
        <v>16.62</v>
      </c>
      <c r="J85" s="91" t="n">
        <f aca="false">IF(D85&lt;=0,1,0)</f>
        <v>0</v>
      </c>
      <c r="K85" s="87" t="str">
        <f aca="false">IF($F85&gt;25,"yes","")</f>
        <v/>
      </c>
    </row>
    <row r="86" customFormat="false" ht="15" hidden="false" customHeight="true" outlineLevel="0" collapsed="false">
      <c r="A86" s="87" t="n">
        <v>82</v>
      </c>
      <c r="B86" s="88" t="n">
        <f aca="false">INT(($A86-1)/DaysPerMonth)+1</f>
        <v>10</v>
      </c>
      <c r="C86" s="88" t="str">
        <f aca="false">MOD($A86-1,DaysPerMonth)+1&amp;" "&amp;CHOOSE($B86,"Jan","Feb","Mar","Apr","May","Jun","Jul","Aug","Sep","Oct","Nov","Dec")</f>
        <v>1 Oct</v>
      </c>
      <c r="D86" s="89" t="n">
        <v>1.86</v>
      </c>
      <c r="E86" s="89" t="n">
        <v>-7.62</v>
      </c>
      <c r="F86" s="89" t="n">
        <v>11.27</v>
      </c>
      <c r="G86" s="90" t="n">
        <f aca="false">D86+GHBonus</f>
        <v>6.86</v>
      </c>
      <c r="H86" s="90" t="n">
        <f aca="false">E86+GHBonus</f>
        <v>-2.62</v>
      </c>
      <c r="I86" s="90" t="n">
        <f aca="false">F86+GHBonus</f>
        <v>16.27</v>
      </c>
      <c r="J86" s="92" t="n">
        <f aca="false">IF(D86&lt;=0,1,0)</f>
        <v>0</v>
      </c>
      <c r="K86" s="87" t="str">
        <f aca="false">IF($F86&gt;25,"yes","")</f>
        <v/>
      </c>
    </row>
    <row r="87" customFormat="false" ht="15" hidden="false" customHeight="true" outlineLevel="0" collapsed="false">
      <c r="A87" s="87" t="n">
        <v>83</v>
      </c>
      <c r="B87" s="88" t="n">
        <f aca="false">INT(($A87-1)/DaysPerMonth)+1</f>
        <v>10</v>
      </c>
      <c r="C87" s="88" t="str">
        <f aca="false">MOD($A87-1,DaysPerMonth)+1&amp;" "&amp;CHOOSE($B87,"Jan","Feb","Mar","Apr","May","Jun","Jul","Aug","Sep","Oct","Nov","Dec")</f>
        <v>2 Oct</v>
      </c>
      <c r="D87" s="89" t="n">
        <v>0.96</v>
      </c>
      <c r="E87" s="89" t="n">
        <v>-7.24</v>
      </c>
      <c r="F87" s="89" t="n">
        <v>9.44</v>
      </c>
      <c r="G87" s="90" t="n">
        <f aca="false">D87+GHBonus</f>
        <v>5.96</v>
      </c>
      <c r="H87" s="90" t="n">
        <f aca="false">E87+GHBonus</f>
        <v>-2.24</v>
      </c>
      <c r="I87" s="90" t="n">
        <f aca="false">F87+GHBonus</f>
        <v>14.44</v>
      </c>
      <c r="J87" s="91" t="n">
        <f aca="false">IF(D87&lt;=0,1,0)</f>
        <v>0</v>
      </c>
      <c r="K87" s="87" t="str">
        <f aca="false">IF($F87&gt;25,"yes","")</f>
        <v/>
      </c>
    </row>
    <row r="88" customFormat="false" ht="15" hidden="false" customHeight="true" outlineLevel="0" collapsed="false">
      <c r="A88" s="87" t="n">
        <v>84</v>
      </c>
      <c r="B88" s="88" t="n">
        <f aca="false">INT(($A88-1)/DaysPerMonth)+1</f>
        <v>10</v>
      </c>
      <c r="C88" s="88" t="str">
        <f aca="false">MOD($A88-1,DaysPerMonth)+1&amp;" "&amp;CHOOSE($B88,"Jan","Feb","Mar","Apr","May","Jun","Jul","Aug","Sep","Oct","Nov","Dec")</f>
        <v>3 Oct</v>
      </c>
      <c r="D88" s="89" t="n">
        <v>-0.21</v>
      </c>
      <c r="E88" s="89" t="n">
        <v>-8.75</v>
      </c>
      <c r="F88" s="89" t="n">
        <v>8.36</v>
      </c>
      <c r="G88" s="90" t="n">
        <f aca="false">D88+GHBonus</f>
        <v>4.79</v>
      </c>
      <c r="H88" s="90" t="n">
        <f aca="false">E88+GHBonus</f>
        <v>-3.75</v>
      </c>
      <c r="I88" s="90" t="n">
        <f aca="false">F88+GHBonus</f>
        <v>13.36</v>
      </c>
      <c r="J88" s="92" t="n">
        <f aca="false">IF(D88&lt;=0,1,0)</f>
        <v>1</v>
      </c>
      <c r="K88" s="87" t="str">
        <f aca="false">IF($F88&gt;25,"yes","")</f>
        <v/>
      </c>
    </row>
    <row r="89" customFormat="false" ht="15" hidden="false" customHeight="true" outlineLevel="0" collapsed="false">
      <c r="A89" s="87" t="n">
        <v>85</v>
      </c>
      <c r="B89" s="88" t="n">
        <f aca="false">INT(($A89-1)/DaysPerMonth)+1</f>
        <v>10</v>
      </c>
      <c r="C89" s="88" t="str">
        <f aca="false">MOD($A89-1,DaysPerMonth)+1&amp;" "&amp;CHOOSE($B89,"Jan","Feb","Mar","Apr","May","Jun","Jul","Aug","Sep","Oct","Nov","Dec")</f>
        <v>4 Oct</v>
      </c>
      <c r="D89" s="89" t="n">
        <v>-1.95</v>
      </c>
      <c r="E89" s="89" t="n">
        <v>-10.59</v>
      </c>
      <c r="F89" s="89" t="n">
        <v>6.9</v>
      </c>
      <c r="G89" s="90" t="n">
        <f aca="false">D89+GHBonus</f>
        <v>3.05</v>
      </c>
      <c r="H89" s="90" t="n">
        <f aca="false">E89+GHBonus</f>
        <v>-5.59</v>
      </c>
      <c r="I89" s="90" t="n">
        <f aca="false">F89+GHBonus</f>
        <v>11.9</v>
      </c>
      <c r="J89" s="91" t="n">
        <f aca="false">IF(D89&lt;=0,1,0)</f>
        <v>1</v>
      </c>
      <c r="K89" s="87" t="str">
        <f aca="false">IF($F89&gt;25,"yes","")</f>
        <v/>
      </c>
    </row>
    <row r="90" customFormat="false" ht="15" hidden="false" customHeight="true" outlineLevel="0" collapsed="false">
      <c r="A90" s="87" t="n">
        <v>86</v>
      </c>
      <c r="B90" s="88" t="n">
        <f aca="false">INT(($A90-1)/DaysPerMonth)+1</f>
        <v>10</v>
      </c>
      <c r="C90" s="88" t="str">
        <f aca="false">MOD($A90-1,DaysPerMonth)+1&amp;" "&amp;CHOOSE($B90,"Jan","Feb","Mar","Apr","May","Jun","Jul","Aug","Sep","Oct","Nov","Dec")</f>
        <v>5 Oct</v>
      </c>
      <c r="D90" s="89" t="n">
        <v>-2.32</v>
      </c>
      <c r="E90" s="89" t="n">
        <v>-12.28</v>
      </c>
      <c r="F90" s="89" t="n">
        <v>7.26</v>
      </c>
      <c r="G90" s="90" t="n">
        <f aca="false">D90+GHBonus</f>
        <v>2.68</v>
      </c>
      <c r="H90" s="90" t="n">
        <f aca="false">E90+GHBonus</f>
        <v>-7.28</v>
      </c>
      <c r="I90" s="90" t="n">
        <f aca="false">F90+GHBonus</f>
        <v>12.26</v>
      </c>
      <c r="J90" s="92" t="n">
        <f aca="false">IF(D90&lt;=0,1,0)</f>
        <v>1</v>
      </c>
      <c r="K90" s="87" t="str">
        <f aca="false">IF($F90&gt;25,"yes","")</f>
        <v/>
      </c>
    </row>
    <row r="91" customFormat="false" ht="15" hidden="false" customHeight="true" outlineLevel="0" collapsed="false">
      <c r="A91" s="87" t="n">
        <v>87</v>
      </c>
      <c r="B91" s="88" t="n">
        <f aca="false">INT(($A91-1)/DaysPerMonth)+1</f>
        <v>10</v>
      </c>
      <c r="C91" s="88" t="str">
        <f aca="false">MOD($A91-1,DaysPerMonth)+1&amp;" "&amp;CHOOSE($B91,"Jan","Feb","Mar","Apr","May","Jun","Jul","Aug","Sep","Oct","Nov","Dec")</f>
        <v>6 Oct</v>
      </c>
      <c r="D91" s="89" t="n">
        <v>-4.83</v>
      </c>
      <c r="E91" s="89" t="n">
        <v>-13.39</v>
      </c>
      <c r="F91" s="89" t="n">
        <v>3.15</v>
      </c>
      <c r="G91" s="90" t="n">
        <f aca="false">D91+GHBonus</f>
        <v>0.17</v>
      </c>
      <c r="H91" s="90" t="n">
        <f aca="false">E91+GHBonus</f>
        <v>-8.39</v>
      </c>
      <c r="I91" s="90" t="n">
        <f aca="false">F91+GHBonus</f>
        <v>8.15</v>
      </c>
      <c r="J91" s="91" t="n">
        <f aca="false">IF(D91&lt;=0,1,0)</f>
        <v>1</v>
      </c>
      <c r="K91" s="87" t="str">
        <f aca="false">IF($F91&gt;25,"yes","")</f>
        <v/>
      </c>
    </row>
    <row r="92" customFormat="false" ht="15" hidden="false" customHeight="true" outlineLevel="0" collapsed="false">
      <c r="A92" s="87" t="n">
        <v>88</v>
      </c>
      <c r="B92" s="88" t="n">
        <f aca="false">INT(($A92-1)/DaysPerMonth)+1</f>
        <v>10</v>
      </c>
      <c r="C92" s="88" t="str">
        <f aca="false">MOD($A92-1,DaysPerMonth)+1&amp;" "&amp;CHOOSE($B92,"Jan","Feb","Mar","Apr","May","Jun","Jul","Aug","Sep","Oct","Nov","Dec")</f>
        <v>7 Oct</v>
      </c>
      <c r="D92" s="89" t="n">
        <v>-5.8</v>
      </c>
      <c r="E92" s="89" t="n">
        <v>-14.71</v>
      </c>
      <c r="F92" s="89" t="n">
        <v>3.52</v>
      </c>
      <c r="G92" s="90" t="n">
        <f aca="false">D92+GHBonus</f>
        <v>-0.8</v>
      </c>
      <c r="H92" s="90" t="n">
        <f aca="false">E92+GHBonus</f>
        <v>-9.71</v>
      </c>
      <c r="I92" s="90" t="n">
        <f aca="false">F92+GHBonus</f>
        <v>8.52</v>
      </c>
      <c r="J92" s="92" t="n">
        <f aca="false">IF(D92&lt;=0,1,0)</f>
        <v>1</v>
      </c>
      <c r="K92" s="87" t="str">
        <f aca="false">IF($F92&gt;25,"yes","")</f>
        <v/>
      </c>
    </row>
    <row r="93" customFormat="false" ht="15" hidden="false" customHeight="true" outlineLevel="0" collapsed="false">
      <c r="A93" s="87" t="n">
        <v>89</v>
      </c>
      <c r="B93" s="88" t="n">
        <f aca="false">INT(($A93-1)/DaysPerMonth)+1</f>
        <v>10</v>
      </c>
      <c r="C93" s="88" t="str">
        <f aca="false">MOD($A93-1,DaysPerMonth)+1&amp;" "&amp;CHOOSE($B93,"Jan","Feb","Mar","Apr","May","Jun","Jul","Aug","Sep","Oct","Nov","Dec")</f>
        <v>8 Oct</v>
      </c>
      <c r="D93" s="89" t="n">
        <v>-7.23</v>
      </c>
      <c r="E93" s="89" t="n">
        <v>-15.47</v>
      </c>
      <c r="F93" s="89" t="n">
        <v>1.45</v>
      </c>
      <c r="G93" s="90" t="n">
        <f aca="false">D93+GHBonus</f>
        <v>-2.23</v>
      </c>
      <c r="H93" s="90" t="n">
        <f aca="false">E93+GHBonus</f>
        <v>-10.47</v>
      </c>
      <c r="I93" s="90" t="n">
        <f aca="false">F93+GHBonus</f>
        <v>6.45</v>
      </c>
      <c r="J93" s="91" t="n">
        <f aca="false">IF(D93&lt;=0,1,0)</f>
        <v>1</v>
      </c>
      <c r="K93" s="87" t="str">
        <f aca="false">IF($F93&gt;25,"yes","")</f>
        <v/>
      </c>
    </row>
    <row r="94" customFormat="false" ht="15" hidden="false" customHeight="true" outlineLevel="0" collapsed="false">
      <c r="A94" s="87" t="n">
        <v>90</v>
      </c>
      <c r="B94" s="88" t="n">
        <f aca="false">INT(($A94-1)/DaysPerMonth)+1</f>
        <v>10</v>
      </c>
      <c r="C94" s="88" t="str">
        <f aca="false">MOD($A94-1,DaysPerMonth)+1&amp;" "&amp;CHOOSE($B94,"Jan","Feb","Mar","Apr","May","Jun","Jul","Aug","Sep","Oct","Nov","Dec")</f>
        <v>9 Oct</v>
      </c>
      <c r="D94" s="89" t="n">
        <v>-7.45</v>
      </c>
      <c r="E94" s="89" t="n">
        <v>-16.52</v>
      </c>
      <c r="F94" s="89" t="n">
        <v>1.85</v>
      </c>
      <c r="G94" s="90" t="n">
        <f aca="false">D94+GHBonus</f>
        <v>-2.45</v>
      </c>
      <c r="H94" s="90" t="n">
        <f aca="false">E94+GHBonus</f>
        <v>-11.52</v>
      </c>
      <c r="I94" s="90" t="n">
        <f aca="false">F94+GHBonus</f>
        <v>6.85</v>
      </c>
      <c r="J94" s="92" t="n">
        <f aca="false">IF(D94&lt;=0,1,0)</f>
        <v>1</v>
      </c>
      <c r="K94" s="87" t="str">
        <f aca="false">IF($F94&gt;25,"yes","")</f>
        <v/>
      </c>
    </row>
    <row r="95" customFormat="false" ht="15" hidden="false" customHeight="true" outlineLevel="0" collapsed="false">
      <c r="A95" s="87" t="n">
        <v>91</v>
      </c>
      <c r="B95" s="88" t="n">
        <f aca="false">INT(($A95-1)/DaysPerMonth)+1</f>
        <v>11</v>
      </c>
      <c r="C95" s="88" t="str">
        <f aca="false">MOD($A95-1,DaysPerMonth)+1&amp;" "&amp;CHOOSE($B95,"Jan","Feb","Mar","Apr","May","Jun","Jul","Aug","Sep","Oct","Nov","Dec")</f>
        <v>1 Nov</v>
      </c>
      <c r="D95" s="89" t="n">
        <v>-9.5</v>
      </c>
      <c r="E95" s="89" t="n">
        <v>-17.32</v>
      </c>
      <c r="F95" s="89" t="n">
        <v>-1.18</v>
      </c>
      <c r="G95" s="90" t="n">
        <f aca="false">D95+GHBonus</f>
        <v>-4.5</v>
      </c>
      <c r="H95" s="90" t="n">
        <f aca="false">E95+GHBonus</f>
        <v>-12.32</v>
      </c>
      <c r="I95" s="90" t="n">
        <f aca="false">F95+GHBonus</f>
        <v>3.82</v>
      </c>
      <c r="J95" s="91" t="n">
        <f aca="false">IF(D95&lt;=0,1,0)</f>
        <v>1</v>
      </c>
      <c r="K95" s="87" t="str">
        <f aca="false">IF($F95&gt;25,"yes","")</f>
        <v/>
      </c>
    </row>
    <row r="96" customFormat="false" ht="15" hidden="false" customHeight="true" outlineLevel="0" collapsed="false">
      <c r="A96" s="87" t="n">
        <v>92</v>
      </c>
      <c r="B96" s="88" t="n">
        <f aca="false">INT(($A96-1)/DaysPerMonth)+1</f>
        <v>11</v>
      </c>
      <c r="C96" s="88" t="str">
        <f aca="false">MOD($A96-1,DaysPerMonth)+1&amp;" "&amp;CHOOSE($B96,"Jan","Feb","Mar","Apr","May","Jun","Jul","Aug","Sep","Oct","Nov","Dec")</f>
        <v>2 Nov</v>
      </c>
      <c r="D96" s="89" t="n">
        <v>-10.57</v>
      </c>
      <c r="E96" s="89" t="n">
        <v>-19.25</v>
      </c>
      <c r="F96" s="89" t="n">
        <v>-1.78</v>
      </c>
      <c r="G96" s="90" t="n">
        <f aca="false">D96+GHBonus</f>
        <v>-5.57</v>
      </c>
      <c r="H96" s="90" t="n">
        <f aca="false">E96+GHBonus</f>
        <v>-14.25</v>
      </c>
      <c r="I96" s="90" t="n">
        <f aca="false">F96+GHBonus</f>
        <v>3.22</v>
      </c>
      <c r="J96" s="92" t="n">
        <f aca="false">IF(D96&lt;=0,1,0)</f>
        <v>1</v>
      </c>
      <c r="K96" s="87" t="str">
        <f aca="false">IF($F96&gt;25,"yes","")</f>
        <v/>
      </c>
    </row>
    <row r="97" customFormat="false" ht="15" hidden="false" customHeight="true" outlineLevel="0" collapsed="false">
      <c r="A97" s="87" t="n">
        <v>93</v>
      </c>
      <c r="B97" s="88" t="n">
        <f aca="false">INT(($A97-1)/DaysPerMonth)+1</f>
        <v>11</v>
      </c>
      <c r="C97" s="88" t="str">
        <f aca="false">MOD($A97-1,DaysPerMonth)+1&amp;" "&amp;CHOOSE($B97,"Jan","Feb","Mar","Apr","May","Jun","Jul","Aug","Sep","Oct","Nov","Dec")</f>
        <v>3 Nov</v>
      </c>
      <c r="D97" s="89" t="n">
        <v>-10.75</v>
      </c>
      <c r="E97" s="89" t="n">
        <v>-18.92</v>
      </c>
      <c r="F97" s="89" t="n">
        <v>-2.22</v>
      </c>
      <c r="G97" s="90" t="n">
        <f aca="false">D97+GHBonus</f>
        <v>-5.75</v>
      </c>
      <c r="H97" s="90" t="n">
        <f aca="false">E97+GHBonus</f>
        <v>-13.92</v>
      </c>
      <c r="I97" s="90" t="n">
        <f aca="false">F97+GHBonus</f>
        <v>2.78</v>
      </c>
      <c r="J97" s="91" t="n">
        <f aca="false">IF(D97&lt;=0,1,0)</f>
        <v>1</v>
      </c>
      <c r="K97" s="87" t="str">
        <f aca="false">IF($F97&gt;25,"yes","")</f>
        <v/>
      </c>
    </row>
    <row r="98" customFormat="false" ht="15" hidden="false" customHeight="true" outlineLevel="0" collapsed="false">
      <c r="A98" s="87" t="n">
        <v>94</v>
      </c>
      <c r="B98" s="88" t="n">
        <f aca="false">INT(($A98-1)/DaysPerMonth)+1</f>
        <v>11</v>
      </c>
      <c r="C98" s="88" t="str">
        <f aca="false">MOD($A98-1,DaysPerMonth)+1&amp;" "&amp;CHOOSE($B98,"Jan","Feb","Mar","Apr","May","Jun","Jul","Aug","Sep","Oct","Nov","Dec")</f>
        <v>4 Nov</v>
      </c>
      <c r="D98" s="89" t="n">
        <v>-11.77</v>
      </c>
      <c r="E98" s="89" t="n">
        <v>-20.04</v>
      </c>
      <c r="F98" s="89" t="n">
        <v>-3.39</v>
      </c>
      <c r="G98" s="90" t="n">
        <f aca="false">D98+GHBonus</f>
        <v>-6.77</v>
      </c>
      <c r="H98" s="90" t="n">
        <f aca="false">E98+GHBonus</f>
        <v>-15.04</v>
      </c>
      <c r="I98" s="90" t="n">
        <f aca="false">F98+GHBonus</f>
        <v>1.61</v>
      </c>
      <c r="J98" s="92" t="n">
        <f aca="false">IF(D98&lt;=0,1,0)</f>
        <v>1</v>
      </c>
      <c r="K98" s="87" t="str">
        <f aca="false">IF($F98&gt;25,"yes","")</f>
        <v/>
      </c>
    </row>
    <row r="99" customFormat="false" ht="15" hidden="false" customHeight="true" outlineLevel="0" collapsed="false">
      <c r="A99" s="87" t="n">
        <v>95</v>
      </c>
      <c r="B99" s="88" t="n">
        <f aca="false">INT(($A99-1)/DaysPerMonth)+1</f>
        <v>11</v>
      </c>
      <c r="C99" s="88" t="str">
        <f aca="false">MOD($A99-1,DaysPerMonth)+1&amp;" "&amp;CHOOSE($B99,"Jan","Feb","Mar","Apr","May","Jun","Jul","Aug","Sep","Oct","Nov","Dec")</f>
        <v>5 Nov</v>
      </c>
      <c r="D99" s="89" t="n">
        <v>-13.36</v>
      </c>
      <c r="E99" s="89" t="n">
        <v>-22.44</v>
      </c>
      <c r="F99" s="89" t="n">
        <v>-4.3</v>
      </c>
      <c r="G99" s="90" t="n">
        <f aca="false">D99+GHBonus</f>
        <v>-8.36</v>
      </c>
      <c r="H99" s="90" t="n">
        <f aca="false">E99+GHBonus</f>
        <v>-17.44</v>
      </c>
      <c r="I99" s="90" t="n">
        <f aca="false">F99+GHBonus</f>
        <v>0.7</v>
      </c>
      <c r="J99" s="91" t="n">
        <f aca="false">IF(D99&lt;=0,1,0)</f>
        <v>1</v>
      </c>
      <c r="K99" s="87" t="str">
        <f aca="false">IF($F99&gt;25,"yes","")</f>
        <v/>
      </c>
    </row>
    <row r="100" customFormat="false" ht="15" hidden="false" customHeight="true" outlineLevel="0" collapsed="false">
      <c r="A100" s="87" t="n">
        <v>96</v>
      </c>
      <c r="B100" s="88" t="n">
        <f aca="false">INT(($A100-1)/DaysPerMonth)+1</f>
        <v>11</v>
      </c>
      <c r="C100" s="88" t="str">
        <f aca="false">MOD($A100-1,DaysPerMonth)+1&amp;" "&amp;CHOOSE($B100,"Jan","Feb","Mar","Apr","May","Jun","Jul","Aug","Sep","Oct","Nov","Dec")</f>
        <v>6 Nov</v>
      </c>
      <c r="D100" s="89" t="n">
        <v>-13.85</v>
      </c>
      <c r="E100" s="89" t="n">
        <v>-22.22</v>
      </c>
      <c r="F100" s="89" t="n">
        <v>-5.62</v>
      </c>
      <c r="G100" s="90" t="n">
        <f aca="false">D100+GHBonus</f>
        <v>-8.85</v>
      </c>
      <c r="H100" s="90" t="n">
        <f aca="false">E100+GHBonus</f>
        <v>-17.22</v>
      </c>
      <c r="I100" s="90" t="n">
        <f aca="false">F100+GHBonus</f>
        <v>-0.62</v>
      </c>
      <c r="J100" s="92" t="n">
        <f aca="false">IF(D100&lt;=0,1,0)</f>
        <v>1</v>
      </c>
      <c r="K100" s="87" t="str">
        <f aca="false">IF($F100&gt;25,"yes","")</f>
        <v/>
      </c>
    </row>
    <row r="101" customFormat="false" ht="15" hidden="false" customHeight="true" outlineLevel="0" collapsed="false">
      <c r="A101" s="87" t="n">
        <v>97</v>
      </c>
      <c r="B101" s="88" t="n">
        <f aca="false">INT(($A101-1)/DaysPerMonth)+1</f>
        <v>11</v>
      </c>
      <c r="C101" s="88" t="str">
        <f aca="false">MOD($A101-1,DaysPerMonth)+1&amp;" "&amp;CHOOSE($B101,"Jan","Feb","Mar","Apr","May","Jun","Jul","Aug","Sep","Oct","Nov","Dec")</f>
        <v>7 Nov</v>
      </c>
      <c r="D101" s="89" t="n">
        <v>-14.83</v>
      </c>
      <c r="E101" s="89" t="n">
        <v>-23.4</v>
      </c>
      <c r="F101" s="89" t="n">
        <v>-6.29</v>
      </c>
      <c r="G101" s="90" t="n">
        <f aca="false">D101+GHBonus</f>
        <v>-9.83</v>
      </c>
      <c r="H101" s="90" t="n">
        <f aca="false">E101+GHBonus</f>
        <v>-18.4</v>
      </c>
      <c r="I101" s="90" t="n">
        <f aca="false">F101+GHBonus</f>
        <v>-1.29</v>
      </c>
      <c r="J101" s="91" t="n">
        <f aca="false">IF(D101&lt;=0,1,0)</f>
        <v>1</v>
      </c>
      <c r="K101" s="87" t="str">
        <f aca="false">IF($F101&gt;25,"yes","")</f>
        <v/>
      </c>
    </row>
    <row r="102" customFormat="false" ht="15" hidden="false" customHeight="true" outlineLevel="0" collapsed="false">
      <c r="A102" s="87" t="n">
        <v>98</v>
      </c>
      <c r="B102" s="88" t="n">
        <f aca="false">INT(($A102-1)/DaysPerMonth)+1</f>
        <v>11</v>
      </c>
      <c r="C102" s="88" t="str">
        <f aca="false">MOD($A102-1,DaysPerMonth)+1&amp;" "&amp;CHOOSE($B102,"Jan","Feb","Mar","Apr","May","Jun","Jul","Aug","Sep","Oct","Nov","Dec")</f>
        <v>8 Nov</v>
      </c>
      <c r="D102" s="89" t="n">
        <v>-15.08</v>
      </c>
      <c r="E102" s="89" t="n">
        <v>-23.69</v>
      </c>
      <c r="F102" s="89" t="n">
        <v>-6.81</v>
      </c>
      <c r="G102" s="90" t="n">
        <f aca="false">D102+GHBonus</f>
        <v>-10.08</v>
      </c>
      <c r="H102" s="90" t="n">
        <f aca="false">E102+GHBonus</f>
        <v>-18.69</v>
      </c>
      <c r="I102" s="90" t="n">
        <f aca="false">F102+GHBonus</f>
        <v>-1.81</v>
      </c>
      <c r="J102" s="92" t="n">
        <f aca="false">IF(D102&lt;=0,1,0)</f>
        <v>1</v>
      </c>
      <c r="K102" s="87" t="str">
        <f aca="false">IF($F102&gt;25,"yes","")</f>
        <v/>
      </c>
    </row>
    <row r="103" customFormat="false" ht="15" hidden="false" customHeight="true" outlineLevel="0" collapsed="false">
      <c r="A103" s="87" t="n">
        <v>99</v>
      </c>
      <c r="B103" s="88" t="n">
        <f aca="false">INT(($A103-1)/DaysPerMonth)+1</f>
        <v>11</v>
      </c>
      <c r="C103" s="88" t="str">
        <f aca="false">MOD($A103-1,DaysPerMonth)+1&amp;" "&amp;CHOOSE($B103,"Jan","Feb","Mar","Apr","May","Jun","Jul","Aug","Sep","Oct","Nov","Dec")</f>
        <v>9 Nov</v>
      </c>
      <c r="D103" s="89" t="n">
        <v>-16.41</v>
      </c>
      <c r="E103" s="89" t="n">
        <v>-24.99</v>
      </c>
      <c r="F103" s="89" t="n">
        <v>-7.64</v>
      </c>
      <c r="G103" s="90" t="n">
        <f aca="false">D103+GHBonus</f>
        <v>-11.41</v>
      </c>
      <c r="H103" s="90" t="n">
        <f aca="false">E103+GHBonus</f>
        <v>-19.99</v>
      </c>
      <c r="I103" s="90" t="n">
        <f aca="false">F103+GHBonus</f>
        <v>-2.64</v>
      </c>
      <c r="J103" s="91" t="n">
        <f aca="false">IF(D103&lt;=0,1,0)</f>
        <v>1</v>
      </c>
      <c r="K103" s="87" t="str">
        <f aca="false">IF($F103&gt;25,"yes","")</f>
        <v/>
      </c>
    </row>
    <row r="104" customFormat="false" ht="15" hidden="false" customHeight="true" outlineLevel="0" collapsed="false">
      <c r="A104" s="87" t="n">
        <v>100</v>
      </c>
      <c r="B104" s="88" t="n">
        <f aca="false">INT(($A104-1)/DaysPerMonth)+1</f>
        <v>12</v>
      </c>
      <c r="C104" s="88" t="str">
        <f aca="false">MOD($A104-1,DaysPerMonth)+1&amp;" "&amp;CHOOSE($B104,"Jan","Feb","Mar","Apr","May","Jun","Jul","Aug","Sep","Oct","Nov","Dec")</f>
        <v>1 Dec</v>
      </c>
      <c r="D104" s="89" t="n">
        <v>-17.36</v>
      </c>
      <c r="E104" s="89" t="n">
        <v>-26.55</v>
      </c>
      <c r="F104" s="89" t="n">
        <v>-8.78</v>
      </c>
      <c r="G104" s="90" t="n">
        <f aca="false">D104+GHBonus</f>
        <v>-12.36</v>
      </c>
      <c r="H104" s="90" t="n">
        <f aca="false">E104+GHBonus</f>
        <v>-21.55</v>
      </c>
      <c r="I104" s="90" t="n">
        <f aca="false">F104+GHBonus</f>
        <v>-3.78</v>
      </c>
      <c r="J104" s="92" t="n">
        <f aca="false">IF(D104&lt;=0,1,0)</f>
        <v>1</v>
      </c>
      <c r="K104" s="87" t="str">
        <f aca="false">IF($F104&gt;25,"yes","")</f>
        <v/>
      </c>
    </row>
    <row r="105" customFormat="false" ht="15" hidden="false" customHeight="true" outlineLevel="0" collapsed="false">
      <c r="A105" s="87" t="n">
        <v>101</v>
      </c>
      <c r="B105" s="88" t="n">
        <f aca="false">INT(($A105-1)/DaysPerMonth)+1</f>
        <v>12</v>
      </c>
      <c r="C105" s="88" t="str">
        <f aca="false">MOD($A105-1,DaysPerMonth)+1&amp;" "&amp;CHOOSE($B105,"Jan","Feb","Mar","Apr","May","Jun","Jul","Aug","Sep","Oct","Nov","Dec")</f>
        <v>2 Dec</v>
      </c>
      <c r="D105" s="89" t="n">
        <v>-17.62</v>
      </c>
      <c r="E105" s="89" t="n">
        <v>-26.82</v>
      </c>
      <c r="F105" s="89" t="n">
        <v>-8.82</v>
      </c>
      <c r="G105" s="90" t="n">
        <f aca="false">D105+GHBonus</f>
        <v>-12.62</v>
      </c>
      <c r="H105" s="90" t="n">
        <f aca="false">E105+GHBonus</f>
        <v>-21.82</v>
      </c>
      <c r="I105" s="90" t="n">
        <f aca="false">F105+GHBonus</f>
        <v>-3.82</v>
      </c>
      <c r="J105" s="91" t="n">
        <f aca="false">IF(D105&lt;=0,1,0)</f>
        <v>1</v>
      </c>
      <c r="K105" s="87" t="str">
        <f aca="false">IF($F105&gt;25,"yes","")</f>
        <v/>
      </c>
    </row>
    <row r="106" customFormat="false" ht="15" hidden="false" customHeight="true" outlineLevel="0" collapsed="false">
      <c r="A106" s="87" t="n">
        <v>102</v>
      </c>
      <c r="B106" s="88" t="n">
        <f aca="false">INT(($A106-1)/DaysPerMonth)+1</f>
        <v>12</v>
      </c>
      <c r="C106" s="88" t="str">
        <f aca="false">MOD($A106-1,DaysPerMonth)+1&amp;" "&amp;CHOOSE($B106,"Jan","Feb","Mar","Apr","May","Jun","Jul","Aug","Sep","Oct","Nov","Dec")</f>
        <v>3 Dec</v>
      </c>
      <c r="D106" s="89" t="n">
        <v>-18.05</v>
      </c>
      <c r="E106" s="89" t="n">
        <v>-27.65</v>
      </c>
      <c r="F106" s="89" t="n">
        <v>-8.48</v>
      </c>
      <c r="G106" s="90" t="n">
        <f aca="false">D106+GHBonus</f>
        <v>-13.05</v>
      </c>
      <c r="H106" s="90" t="n">
        <f aca="false">E106+GHBonus</f>
        <v>-22.65</v>
      </c>
      <c r="I106" s="90" t="n">
        <f aca="false">F106+GHBonus</f>
        <v>-3.48</v>
      </c>
      <c r="J106" s="92" t="n">
        <f aca="false">IF(D106&lt;=0,1,0)</f>
        <v>1</v>
      </c>
      <c r="K106" s="87" t="str">
        <f aca="false">IF($F106&gt;25,"yes","")</f>
        <v/>
      </c>
    </row>
    <row r="107" customFormat="false" ht="15" hidden="false" customHeight="true" outlineLevel="0" collapsed="false">
      <c r="A107" s="87" t="n">
        <v>103</v>
      </c>
      <c r="B107" s="88" t="n">
        <f aca="false">INT(($A107-1)/DaysPerMonth)+1</f>
        <v>12</v>
      </c>
      <c r="C107" s="88" t="str">
        <f aca="false">MOD($A107-1,DaysPerMonth)+1&amp;" "&amp;CHOOSE($B107,"Jan","Feb","Mar","Apr","May","Jun","Jul","Aug","Sep","Oct","Nov","Dec")</f>
        <v>4 Dec</v>
      </c>
      <c r="D107" s="89" t="n">
        <v>-19.41</v>
      </c>
      <c r="E107" s="89" t="n">
        <v>-28.9</v>
      </c>
      <c r="F107" s="89" t="n">
        <v>-10.05</v>
      </c>
      <c r="G107" s="90" t="n">
        <f aca="false">D107+GHBonus</f>
        <v>-14.41</v>
      </c>
      <c r="H107" s="90" t="n">
        <f aca="false">E107+GHBonus</f>
        <v>-23.9</v>
      </c>
      <c r="I107" s="90" t="n">
        <f aca="false">F107+GHBonus</f>
        <v>-5.05</v>
      </c>
      <c r="J107" s="91" t="n">
        <f aca="false">IF(D107&lt;=0,1,0)</f>
        <v>1</v>
      </c>
      <c r="K107" s="87" t="str">
        <f aca="false">IF($F107&gt;25,"yes","")</f>
        <v/>
      </c>
    </row>
    <row r="108" customFormat="false" ht="15" hidden="false" customHeight="true" outlineLevel="0" collapsed="false">
      <c r="A108" s="87" t="n">
        <v>104</v>
      </c>
      <c r="B108" s="88" t="n">
        <f aca="false">INT(($A108-1)/DaysPerMonth)+1</f>
        <v>12</v>
      </c>
      <c r="C108" s="88" t="str">
        <f aca="false">MOD($A108-1,DaysPerMonth)+1&amp;" "&amp;CHOOSE($B108,"Jan","Feb","Mar","Apr","May","Jun","Jul","Aug","Sep","Oct","Nov","Dec")</f>
        <v>5 Dec</v>
      </c>
      <c r="D108" s="89" t="n">
        <v>-19.17</v>
      </c>
      <c r="E108" s="89" t="n">
        <v>-28.14</v>
      </c>
      <c r="F108" s="89" t="n">
        <v>-9.86</v>
      </c>
      <c r="G108" s="90" t="n">
        <f aca="false">D108+GHBonus</f>
        <v>-14.17</v>
      </c>
      <c r="H108" s="90" t="n">
        <f aca="false">E108+GHBonus</f>
        <v>-23.14</v>
      </c>
      <c r="I108" s="90" t="n">
        <f aca="false">F108+GHBonus</f>
        <v>-4.86</v>
      </c>
      <c r="J108" s="92" t="n">
        <f aca="false">IF(D108&lt;=0,1,0)</f>
        <v>1</v>
      </c>
      <c r="K108" s="87" t="str">
        <f aca="false">IF($F108&gt;25,"yes","")</f>
        <v/>
      </c>
    </row>
    <row r="109" customFormat="false" ht="15" hidden="false" customHeight="true" outlineLevel="0" collapsed="false">
      <c r="A109" s="87" t="n">
        <v>105</v>
      </c>
      <c r="B109" s="88" t="n">
        <f aca="false">INT(($A109-1)/DaysPerMonth)+1</f>
        <v>12</v>
      </c>
      <c r="C109" s="88" t="str">
        <f aca="false">MOD($A109-1,DaysPerMonth)+1&amp;" "&amp;CHOOSE($B109,"Jan","Feb","Mar","Apr","May","Jun","Jul","Aug","Sep","Oct","Nov","Dec")</f>
        <v>6 Dec</v>
      </c>
      <c r="D109" s="89" t="n">
        <v>-19.84</v>
      </c>
      <c r="E109" s="89" t="n">
        <v>-28.32</v>
      </c>
      <c r="F109" s="89" t="n">
        <v>-10.89</v>
      </c>
      <c r="G109" s="90" t="n">
        <f aca="false">D109+GHBonus</f>
        <v>-14.84</v>
      </c>
      <c r="H109" s="90" t="n">
        <f aca="false">E109+GHBonus</f>
        <v>-23.32</v>
      </c>
      <c r="I109" s="90" t="n">
        <f aca="false">F109+GHBonus</f>
        <v>-5.89</v>
      </c>
      <c r="J109" s="91" t="n">
        <f aca="false">IF(D109&lt;=0,1,0)</f>
        <v>1</v>
      </c>
      <c r="K109" s="87" t="str">
        <f aca="false">IF($F109&gt;25,"yes","")</f>
        <v/>
      </c>
    </row>
    <row r="110" customFormat="false" ht="15" hidden="false" customHeight="true" outlineLevel="0" collapsed="false">
      <c r="A110" s="87" t="n">
        <v>106</v>
      </c>
      <c r="B110" s="88" t="n">
        <f aca="false">INT(($A110-1)/DaysPerMonth)+1</f>
        <v>12</v>
      </c>
      <c r="C110" s="88" t="str">
        <f aca="false">MOD($A110-1,DaysPerMonth)+1&amp;" "&amp;CHOOSE($B110,"Jan","Feb","Mar","Apr","May","Jun","Jul","Aug","Sep","Oct","Nov","Dec")</f>
        <v>7 Dec</v>
      </c>
      <c r="D110" s="89" t="n">
        <v>-19.94</v>
      </c>
      <c r="E110" s="89" t="n">
        <v>-29.25</v>
      </c>
      <c r="F110" s="89" t="n">
        <v>-11.11</v>
      </c>
      <c r="G110" s="90" t="n">
        <f aca="false">D110+GHBonus</f>
        <v>-14.94</v>
      </c>
      <c r="H110" s="90" t="n">
        <f aca="false">E110+GHBonus</f>
        <v>-24.25</v>
      </c>
      <c r="I110" s="90" t="n">
        <f aca="false">F110+GHBonus</f>
        <v>-6.11</v>
      </c>
      <c r="J110" s="92" t="n">
        <f aca="false">IF(D110&lt;=0,1,0)</f>
        <v>1</v>
      </c>
      <c r="K110" s="87" t="str">
        <f aca="false">IF($F110&gt;25,"yes","")</f>
        <v/>
      </c>
    </row>
    <row r="111" customFormat="false" ht="15" hidden="false" customHeight="true" outlineLevel="0" collapsed="false">
      <c r="A111" s="87" t="n">
        <v>107</v>
      </c>
      <c r="B111" s="88" t="n">
        <f aca="false">INT(($A111-1)/DaysPerMonth)+1</f>
        <v>12</v>
      </c>
      <c r="C111" s="88" t="str">
        <f aca="false">MOD($A111-1,DaysPerMonth)+1&amp;" "&amp;CHOOSE($B111,"Jan","Feb","Mar","Apr","May","Jun","Jul","Aug","Sep","Oct","Nov","Dec")</f>
        <v>8 Dec</v>
      </c>
      <c r="D111" s="89" t="n">
        <v>-20.32</v>
      </c>
      <c r="E111" s="89" t="n">
        <v>-28.64</v>
      </c>
      <c r="F111" s="89" t="n">
        <v>-11.97</v>
      </c>
      <c r="G111" s="90" t="n">
        <f aca="false">D111+GHBonus</f>
        <v>-15.32</v>
      </c>
      <c r="H111" s="90" t="n">
        <f aca="false">E111+GHBonus</f>
        <v>-23.64</v>
      </c>
      <c r="I111" s="90" t="n">
        <f aca="false">F111+GHBonus</f>
        <v>-6.97</v>
      </c>
      <c r="J111" s="91" t="n">
        <f aca="false">IF(D111&lt;=0,1,0)</f>
        <v>1</v>
      </c>
      <c r="K111" s="87" t="str">
        <f aca="false">IF($F111&gt;25,"yes","")</f>
        <v/>
      </c>
    </row>
    <row r="112" customFormat="false" ht="15" hidden="false" customHeight="true" outlineLevel="0" collapsed="false">
      <c r="A112" s="87" t="n">
        <v>108</v>
      </c>
      <c r="B112" s="88" t="n">
        <f aca="false">INT(($A112-1)/DaysPerMonth)+1</f>
        <v>12</v>
      </c>
      <c r="C112" s="88" t="str">
        <f aca="false">MOD($A112-1,DaysPerMonth)+1&amp;" "&amp;CHOOSE($B112,"Jan","Feb","Mar","Apr","May","Jun","Jul","Aug","Sep","Oct","Nov","Dec")</f>
        <v>9 Dec</v>
      </c>
      <c r="D112" s="89" t="n">
        <v>-20.98</v>
      </c>
      <c r="E112" s="89" t="n">
        <v>-30.19</v>
      </c>
      <c r="F112" s="89" t="n">
        <v>-11.77</v>
      </c>
      <c r="G112" s="90" t="n">
        <f aca="false">D112+GHBonus</f>
        <v>-15.98</v>
      </c>
      <c r="H112" s="90" t="n">
        <f aca="false">E112+GHBonus</f>
        <v>-25.19</v>
      </c>
      <c r="I112" s="90" t="n">
        <f aca="false">F112+GHBonus</f>
        <v>-6.77</v>
      </c>
      <c r="J112" s="92" t="n">
        <f aca="false">IF(D112&lt;=0,1,0)</f>
        <v>1</v>
      </c>
      <c r="K112" s="87" t="str">
        <f aca="false">IF($F112&gt;25,"yes","")</f>
        <v/>
      </c>
    </row>
  </sheetData>
  <mergeCells count="2">
    <mergeCell ref="A1:K1"/>
    <mergeCell ref="A2:K2"/>
  </mergeCells>
  <conditionalFormatting sqref="D5:D112">
    <cfRule type="colorScale" priority="2">
      <colorScale>
        <cfvo type="num" val="-30"/>
        <cfvo type="num" val="0"/>
        <cfvo type="num" val="25"/>
        <color rgb="FF4472C4"/>
        <color rgb="FFFFFFFF"/>
        <color rgb="FFC00000"/>
      </colorScale>
    </cfRule>
  </conditionalFormatting>
  <conditionalFormatting sqref="E5:E112">
    <cfRule type="colorScale" priority="3">
      <colorScale>
        <cfvo type="num" val="-30"/>
        <cfvo type="num" val="0"/>
        <cfvo type="num" val="25"/>
        <color rgb="FF4472C4"/>
        <color rgb="FFFFFFFF"/>
        <color rgb="FFC00000"/>
      </colorScale>
    </cfRule>
  </conditionalFormatting>
  <conditionalFormatting sqref="F5:F112">
    <cfRule type="colorScale" priority="4">
      <colorScale>
        <cfvo type="num" val="-30"/>
        <cfvo type="num" val="0"/>
        <cfvo type="num" val="25"/>
        <color rgb="FF4472C4"/>
        <color rgb="FFFFFFFF"/>
        <color rgb="FFC00000"/>
      </colorScale>
    </cfRule>
  </conditionalFormatting>
  <conditionalFormatting sqref="G5:G112">
    <cfRule type="colorScale" priority="5">
      <colorScale>
        <cfvo type="num" val="-30"/>
        <cfvo type="num" val="0"/>
        <cfvo type="num" val="25"/>
        <color rgb="FF4472C4"/>
        <color rgb="FFFFFFFF"/>
        <color rgb="FFC00000"/>
      </colorScale>
    </cfRule>
  </conditionalFormatting>
  <conditionalFormatting sqref="H5:H112">
    <cfRule type="colorScale" priority="6">
      <colorScale>
        <cfvo type="num" val="-30"/>
        <cfvo type="num" val="0"/>
        <cfvo type="num" val="25"/>
        <color rgb="FF4472C4"/>
        <color rgb="FFFFFFFF"/>
        <color rgb="FFC00000"/>
      </colorScale>
    </cfRule>
  </conditionalFormatting>
  <conditionalFormatting sqref="I5:I112">
    <cfRule type="colorScale" priority="7">
      <colorScale>
        <cfvo type="num" val="-30"/>
        <cfvo type="num" val="0"/>
        <cfvo type="num" val="25"/>
        <color rgb="FF4472C4"/>
        <color rgb="FFFFFFFF"/>
        <color rgb="FFC00000"/>
      </colorScale>
    </cfRule>
  </conditionalFormatting>
  <conditionalFormatting sqref="J5:J112">
    <cfRule type="expression" priority="8" aboveAverage="0" equalAverage="0" bottom="0" percent="0" rank="0" text="" dxfId="4">
      <formula>J5="yes"</formula>
    </cfRule>
    <cfRule type="expression" priority="9" aboveAverage="0" equalAverage="0" bottom="0" percent="0" rank="0" text="" dxfId="4">
      <formula>$J5=1</formula>
    </cfRule>
  </conditionalFormatting>
  <conditionalFormatting sqref="K5:K112">
    <cfRule type="expression" priority="10" aboveAverage="0" equalAverage="0" bottom="0" percent="0" rank="0" text="" dxfId="5">
      <formula>K5="yes"</formula>
    </cfRule>
  </conditionalFormatting>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2B788"/>
    <pageSetUpPr fitToPage="true"/>
  </sheetPr>
  <dimension ref="A1:R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3" min="1" style="1" width="12"/>
    <col collapsed="false" customWidth="true" hidden="false" outlineLevel="0" max="5" min="4" style="1" width="8"/>
    <col collapsed="false" customWidth="true" hidden="false" outlineLevel="0" max="6" min="6" style="1" width="12"/>
    <col collapsed="false" customWidth="true" hidden="false" outlineLevel="0" max="7" min="7" style="1" width="8"/>
    <col collapsed="false" customWidth="true" hidden="false" outlineLevel="0" max="11" min="8" style="1" width="10"/>
    <col collapsed="false" customWidth="true" hidden="false" outlineLevel="0" max="13" min="12" style="1" width="12"/>
    <col collapsed="false" customWidth="true" hidden="false" outlineLevel="0" max="14" min="14" style="1" width="14"/>
    <col collapsed="false" customWidth="true" hidden="false" outlineLevel="0" max="15" min="15" style="1" width="10"/>
    <col collapsed="false" customWidth="true" hidden="false" outlineLevel="0" max="17" min="16" style="1" width="12"/>
    <col collapsed="false" customWidth="true" hidden="false" outlineLevel="0" max="18" min="18" style="1" width="30"/>
  </cols>
  <sheetData>
    <row r="1" customFormat="false" ht="36" hidden="false" customHeight="true" outlineLevel="0" collapsed="false">
      <c r="A1" s="2" t="s">
        <v>310</v>
      </c>
      <c r="B1" s="2"/>
      <c r="C1" s="2"/>
      <c r="D1" s="2"/>
      <c r="E1" s="2"/>
      <c r="F1" s="2"/>
      <c r="G1" s="2"/>
      <c r="H1" s="2"/>
      <c r="I1" s="2"/>
      <c r="J1" s="2"/>
      <c r="K1" s="2"/>
      <c r="L1" s="2"/>
      <c r="M1" s="2"/>
      <c r="N1" s="2"/>
      <c r="O1" s="2"/>
      <c r="P1" s="2"/>
      <c r="Q1" s="2"/>
      <c r="R1" s="2"/>
    </row>
    <row r="2" customFormat="false" ht="18" hidden="false" customHeight="true" outlineLevel="0" collapsed="false">
      <c r="A2" s="3" t="s">
        <v>311</v>
      </c>
      <c r="B2" s="3"/>
      <c r="C2" s="3"/>
      <c r="D2" s="3"/>
      <c r="E2" s="3"/>
      <c r="F2" s="3"/>
      <c r="G2" s="3"/>
      <c r="H2" s="3"/>
      <c r="I2" s="3"/>
      <c r="J2" s="3"/>
      <c r="K2" s="3"/>
      <c r="L2" s="3"/>
      <c r="M2" s="3"/>
      <c r="N2" s="3"/>
      <c r="O2" s="3"/>
      <c r="P2" s="3"/>
      <c r="Q2" s="3"/>
      <c r="R2" s="3"/>
    </row>
    <row r="3" customFormat="false" ht="3.75" hidden="false" customHeight="true" outlineLevel="0" collapsed="false">
      <c r="A3" s="4"/>
      <c r="B3" s="4"/>
      <c r="C3" s="4"/>
      <c r="D3" s="4"/>
      <c r="E3" s="4"/>
      <c r="F3" s="4"/>
      <c r="G3" s="4"/>
      <c r="H3" s="4"/>
      <c r="I3" s="4"/>
      <c r="J3" s="4"/>
      <c r="K3" s="4"/>
      <c r="L3" s="4"/>
      <c r="M3" s="4"/>
      <c r="N3" s="4"/>
      <c r="O3" s="4"/>
      <c r="P3" s="4"/>
      <c r="Q3" s="4"/>
      <c r="R3" s="4"/>
    </row>
    <row r="4" customFormat="false" ht="21.75" hidden="false" customHeight="true" outlineLevel="0" collapsed="false">
      <c r="A4" s="37" t="s">
        <v>312</v>
      </c>
      <c r="B4" s="37" t="s">
        <v>313</v>
      </c>
      <c r="C4" s="37" t="s">
        <v>20</v>
      </c>
      <c r="D4" s="37" t="s">
        <v>314</v>
      </c>
      <c r="E4" s="37" t="s">
        <v>315</v>
      </c>
      <c r="F4" s="37" t="s">
        <v>316</v>
      </c>
      <c r="G4" s="37" t="s">
        <v>317</v>
      </c>
      <c r="H4" s="37" t="s">
        <v>318</v>
      </c>
      <c r="I4" s="37" t="s">
        <v>319</v>
      </c>
      <c r="J4" s="37" t="s">
        <v>320</v>
      </c>
      <c r="K4" s="37" t="s">
        <v>321</v>
      </c>
      <c r="L4" s="37" t="s">
        <v>322</v>
      </c>
      <c r="M4" s="37" t="s">
        <v>323</v>
      </c>
      <c r="N4" s="37" t="s">
        <v>324</v>
      </c>
      <c r="O4" s="37" t="s">
        <v>325</v>
      </c>
      <c r="P4" s="37" t="s">
        <v>326</v>
      </c>
      <c r="Q4" s="37" t="s">
        <v>327</v>
      </c>
      <c r="R4" s="37" t="s">
        <v>328</v>
      </c>
    </row>
    <row r="5" customFormat="false" ht="21.75" hidden="false" customHeight="true" outlineLevel="0" collapsed="false">
      <c r="A5" s="93" t="s">
        <v>329</v>
      </c>
      <c r="B5" s="94" t="s">
        <v>101</v>
      </c>
      <c r="C5" s="94" t="s">
        <v>330</v>
      </c>
      <c r="D5" s="95" t="n">
        <v>9</v>
      </c>
      <c r="E5" s="96" t="n">
        <v>1.78</v>
      </c>
      <c r="F5" s="97" t="n">
        <f aca="false">$E5*DaysPerMonth</f>
        <v>16.02</v>
      </c>
      <c r="G5" s="98" t="s">
        <v>76</v>
      </c>
      <c r="H5" s="99" t="n">
        <v>35</v>
      </c>
      <c r="I5" s="100" t="n">
        <f aca="false">$H5/MAX(1,$D5-1)</f>
        <v>4.375</v>
      </c>
      <c r="J5" s="95" t="n">
        <v>-12</v>
      </c>
      <c r="K5" s="101" t="n">
        <f aca="false">IF(ISBLANK($J5),DefaultCold,$J5)</f>
        <v>-12</v>
      </c>
      <c r="L5" s="95" t="n">
        <v>27</v>
      </c>
      <c r="M5" s="101" t="n">
        <f aca="false">IF(ISBLANK($L5),DefaultHeat,$L5)</f>
        <v>27</v>
      </c>
      <c r="N5" s="96" t="n">
        <v>0.5</v>
      </c>
      <c r="O5" s="96" t="n">
        <v>0.75</v>
      </c>
      <c r="P5" s="98" t="s">
        <v>331</v>
      </c>
      <c r="Q5" s="99" t="n">
        <v>0.7</v>
      </c>
      <c r="R5" s="76" t="s">
        <v>332</v>
      </c>
    </row>
    <row r="6" customFormat="false" ht="21.75" hidden="false" customHeight="true" outlineLevel="0" collapsed="false">
      <c r="A6" s="102" t="s">
        <v>333</v>
      </c>
      <c r="B6" s="103" t="s">
        <v>102</v>
      </c>
      <c r="C6" s="103" t="s">
        <v>330</v>
      </c>
      <c r="D6" s="104" t="n">
        <v>7</v>
      </c>
      <c r="E6" s="105" t="n">
        <v>1.03</v>
      </c>
      <c r="F6" s="106" t="n">
        <f aca="false">$E6*DaysPerMonth</f>
        <v>9.27</v>
      </c>
      <c r="G6" s="107" t="s">
        <v>78</v>
      </c>
      <c r="H6" s="108" t="n">
        <v>34.3</v>
      </c>
      <c r="I6" s="109" t="n">
        <f aca="false">$H6/MAX(1,$D6-1)</f>
        <v>5.71666666666667</v>
      </c>
      <c r="J6" s="104" t="n">
        <v>-10</v>
      </c>
      <c r="K6" s="110" t="n">
        <f aca="false">IF(ISBLANK($J6),DefaultCold,$J6)</f>
        <v>-10</v>
      </c>
      <c r="L6" s="104" t="n">
        <v>32</v>
      </c>
      <c r="M6" s="110" t="n">
        <f aca="false">IF(ISBLANK($L6),DefaultHeat,$L6)</f>
        <v>32</v>
      </c>
      <c r="N6" s="105" t="n">
        <v>0.5</v>
      </c>
      <c r="O6" s="105" t="n">
        <v>0.75</v>
      </c>
      <c r="P6" s="107" t="s">
        <v>334</v>
      </c>
      <c r="Q6" s="108" t="n">
        <v>3</v>
      </c>
      <c r="R6" s="79" t="s">
        <v>335</v>
      </c>
    </row>
    <row r="7" customFormat="false" ht="21.75" hidden="false" customHeight="true" outlineLevel="0" collapsed="false">
      <c r="A7" s="93" t="s">
        <v>336</v>
      </c>
      <c r="B7" s="94" t="s">
        <v>103</v>
      </c>
      <c r="C7" s="94" t="s">
        <v>330</v>
      </c>
      <c r="D7" s="95" t="n">
        <v>8</v>
      </c>
      <c r="E7" s="96" t="n">
        <v>1.75</v>
      </c>
      <c r="F7" s="97" t="n">
        <f aca="false">$E7*DaysPerMonth</f>
        <v>15.75</v>
      </c>
      <c r="G7" s="98" t="s">
        <v>77</v>
      </c>
      <c r="H7" s="99" t="n">
        <v>17.5</v>
      </c>
      <c r="I7" s="100" t="n">
        <f aca="false">$H7/MAX(1,$D7-1)</f>
        <v>2.5</v>
      </c>
      <c r="J7" s="95" t="n">
        <v>-10</v>
      </c>
      <c r="K7" s="101" t="n">
        <f aca="false">IF(ISBLANK($J7),DefaultCold,$J7)</f>
        <v>-10</v>
      </c>
      <c r="L7" s="95" t="n">
        <v>32</v>
      </c>
      <c r="M7" s="101" t="n">
        <f aca="false">IF(ISBLANK($L7),DefaultHeat,$L7)</f>
        <v>32</v>
      </c>
      <c r="N7" s="96" t="n">
        <v>0.5</v>
      </c>
      <c r="O7" s="96" t="n">
        <v>0.75</v>
      </c>
      <c r="P7" s="98" t="s">
        <v>337</v>
      </c>
      <c r="Q7" s="99" t="n">
        <v>4</v>
      </c>
      <c r="R7" s="76" t="s">
        <v>335</v>
      </c>
    </row>
    <row r="8" customFormat="false" ht="21.75" hidden="false" customHeight="true" outlineLevel="0" collapsed="false">
      <c r="A8" s="102" t="s">
        <v>338</v>
      </c>
      <c r="B8" s="103" t="s">
        <v>104</v>
      </c>
      <c r="C8" s="103" t="s">
        <v>330</v>
      </c>
      <c r="D8" s="104" t="n">
        <v>9</v>
      </c>
      <c r="E8" s="105" t="n">
        <v>2.67</v>
      </c>
      <c r="F8" s="106" t="n">
        <f aca="false">$E8*DaysPerMonth</f>
        <v>24.03</v>
      </c>
      <c r="G8" s="107" t="s">
        <v>76</v>
      </c>
      <c r="H8" s="108" t="n">
        <v>35</v>
      </c>
      <c r="I8" s="109" t="n">
        <f aca="false">$H8/MAX(1,$D8-1)</f>
        <v>4.375</v>
      </c>
      <c r="J8" s="104" t="n">
        <v>-8</v>
      </c>
      <c r="K8" s="110" t="n">
        <f aca="false">IF(ISBLANK($J8),DefaultCold,$J8)</f>
        <v>-8</v>
      </c>
      <c r="L8" s="104" t="n">
        <v>35</v>
      </c>
      <c r="M8" s="110" t="n">
        <f aca="false">IF(ISBLANK($L8),DefaultHeat,$L8)</f>
        <v>35</v>
      </c>
      <c r="N8" s="105" t="n">
        <v>0.5</v>
      </c>
      <c r="O8" s="105" t="n">
        <v>0.75</v>
      </c>
      <c r="P8" s="107" t="s">
        <v>334</v>
      </c>
      <c r="Q8" s="108" t="n">
        <v>3</v>
      </c>
      <c r="R8" s="79" t="s">
        <v>339</v>
      </c>
    </row>
    <row r="9" customFormat="false" ht="21.75" hidden="false" customHeight="true" outlineLevel="0" collapsed="false">
      <c r="A9" s="93" t="s">
        <v>340</v>
      </c>
      <c r="B9" s="94" t="s">
        <v>105</v>
      </c>
      <c r="C9" s="94" t="s">
        <v>330</v>
      </c>
      <c r="D9" s="95" t="n">
        <v>9</v>
      </c>
      <c r="E9" s="96" t="n">
        <v>2.67</v>
      </c>
      <c r="F9" s="97" t="n">
        <f aca="false">$E9*DaysPerMonth</f>
        <v>24.03</v>
      </c>
      <c r="G9" s="98" t="s">
        <v>77</v>
      </c>
      <c r="H9" s="99" t="n">
        <v>35</v>
      </c>
      <c r="I9" s="100" t="n">
        <f aca="false">$H9/MAX(1,$D9-1)</f>
        <v>4.375</v>
      </c>
      <c r="J9" s="95" t="n">
        <v>-8</v>
      </c>
      <c r="K9" s="101" t="n">
        <f aca="false">IF(ISBLANK($J9),DefaultCold,$J9)</f>
        <v>-8</v>
      </c>
      <c r="L9" s="95" t="n">
        <v>35</v>
      </c>
      <c r="M9" s="101" t="n">
        <f aca="false">IF(ISBLANK($L9),DefaultHeat,$L9)</f>
        <v>35</v>
      </c>
      <c r="N9" s="96" t="n">
        <v>0.5</v>
      </c>
      <c r="O9" s="96" t="n">
        <v>0.75</v>
      </c>
      <c r="P9" s="98" t="s">
        <v>334</v>
      </c>
      <c r="Q9" s="99" t="n">
        <v>3</v>
      </c>
      <c r="R9" s="76" t="s">
        <v>339</v>
      </c>
    </row>
    <row r="10" customFormat="false" ht="21.75" hidden="false" customHeight="true" outlineLevel="0" collapsed="false">
      <c r="A10" s="102" t="s">
        <v>341</v>
      </c>
      <c r="B10" s="103" t="s">
        <v>106</v>
      </c>
      <c r="C10" s="103" t="s">
        <v>330</v>
      </c>
      <c r="D10" s="104" t="n">
        <v>7</v>
      </c>
      <c r="E10" s="105" t="n">
        <v>1.54</v>
      </c>
      <c r="F10" s="106" t="n">
        <f aca="false">$E10*DaysPerMonth</f>
        <v>13.86</v>
      </c>
      <c r="G10" s="107" t="s">
        <v>77</v>
      </c>
      <c r="H10" s="108" t="n">
        <v>30</v>
      </c>
      <c r="I10" s="109" t="n">
        <f aca="false">$H10/MAX(1,$D10-1)</f>
        <v>5</v>
      </c>
      <c r="J10" s="104" t="n">
        <v>-1</v>
      </c>
      <c r="K10" s="110" t="n">
        <f aca="false">IF(ISBLANK($J10),DefaultCold,$J10)</f>
        <v>-1</v>
      </c>
      <c r="L10" s="111"/>
      <c r="M10" s="110" t="n">
        <f aca="false">IF(ISBLANK($L10),DefaultHeat,$L10)</f>
        <v>9999</v>
      </c>
      <c r="N10" s="112"/>
      <c r="O10" s="112"/>
      <c r="P10" s="107" t="s">
        <v>337</v>
      </c>
      <c r="Q10" s="108" t="n">
        <v>3</v>
      </c>
      <c r="R10" s="79" t="s">
        <v>342</v>
      </c>
    </row>
    <row r="11" customFormat="false" ht="21.75" hidden="false" customHeight="true" outlineLevel="0" collapsed="false">
      <c r="A11" s="93" t="s">
        <v>343</v>
      </c>
      <c r="B11" s="94" t="s">
        <v>107</v>
      </c>
      <c r="C11" s="94" t="s">
        <v>330</v>
      </c>
      <c r="D11" s="95" t="n">
        <v>5</v>
      </c>
      <c r="E11" s="96" t="n">
        <v>0.8</v>
      </c>
      <c r="F11" s="97" t="n">
        <f aca="false">$E11*DaysPerMonth</f>
        <v>7.2</v>
      </c>
      <c r="G11" s="98" t="s">
        <v>76</v>
      </c>
      <c r="H11" s="99" t="n">
        <v>24</v>
      </c>
      <c r="I11" s="100" t="n">
        <f aca="false">$H11/MAX(1,$D11-1)</f>
        <v>6</v>
      </c>
      <c r="J11" s="113"/>
      <c r="K11" s="114" t="n">
        <f aca="false">IF(ISBLANK($J11),DefaultCold,$J11)</f>
        <v>0</v>
      </c>
      <c r="L11" s="115" t="n">
        <v>27</v>
      </c>
      <c r="M11" s="114" t="n">
        <f aca="false">IF(ISBLANK($L11),DefaultHeat,$L11)</f>
        <v>27</v>
      </c>
      <c r="N11" s="116"/>
      <c r="O11" s="116"/>
      <c r="P11" s="98" t="s">
        <v>344</v>
      </c>
      <c r="Q11" s="99" t="n">
        <v>3</v>
      </c>
      <c r="R11" s="76" t="s">
        <v>345</v>
      </c>
    </row>
    <row r="12" customFormat="false" ht="21.75" hidden="false" customHeight="true" outlineLevel="0" collapsed="false">
      <c r="A12" s="102" t="s">
        <v>346</v>
      </c>
      <c r="B12" s="103" t="s">
        <v>108</v>
      </c>
      <c r="C12" s="103" t="s">
        <v>330</v>
      </c>
      <c r="D12" s="104" t="n">
        <v>12</v>
      </c>
      <c r="E12" s="105" t="n">
        <v>1.375</v>
      </c>
      <c r="F12" s="106" t="n">
        <f aca="false">$E12*DaysPerMonth</f>
        <v>12.375</v>
      </c>
      <c r="G12" s="107" t="s">
        <v>76</v>
      </c>
      <c r="H12" s="108" t="n">
        <v>36.67</v>
      </c>
      <c r="I12" s="109" t="n">
        <f aca="false">$H12/MAX(1,$D12-1)</f>
        <v>3.33363636363636</v>
      </c>
      <c r="J12" s="111"/>
      <c r="K12" s="110" t="n">
        <f aca="false">IF(ISBLANK($J12),DefaultCold,$J12)</f>
        <v>0</v>
      </c>
      <c r="L12" s="104" t="n">
        <v>35</v>
      </c>
      <c r="M12" s="110" t="n">
        <f aca="false">IF(ISBLANK($L12),DefaultHeat,$L12)</f>
        <v>35</v>
      </c>
      <c r="N12" s="112"/>
      <c r="O12" s="112"/>
      <c r="P12" s="107" t="s">
        <v>347</v>
      </c>
      <c r="Q12" s="108" t="n">
        <v>0.85</v>
      </c>
      <c r="R12" s="79" t="s">
        <v>348</v>
      </c>
    </row>
    <row r="13" customFormat="false" ht="21.75" hidden="false" customHeight="true" outlineLevel="0" collapsed="false">
      <c r="A13" s="93" t="s">
        <v>349</v>
      </c>
      <c r="B13" s="94" t="s">
        <v>109</v>
      </c>
      <c r="C13" s="94" t="s">
        <v>330</v>
      </c>
      <c r="D13" s="95" t="n">
        <v>9</v>
      </c>
      <c r="E13" s="96" t="n">
        <v>1.78</v>
      </c>
      <c r="F13" s="97" t="n">
        <f aca="false">$E13*DaysPerMonth</f>
        <v>16.02</v>
      </c>
      <c r="G13" s="98" t="s">
        <v>76</v>
      </c>
      <c r="H13" s="99" t="n">
        <v>35</v>
      </c>
      <c r="I13" s="100" t="n">
        <f aca="false">$H13/MAX(1,$D13-1)</f>
        <v>4.375</v>
      </c>
      <c r="J13" s="113"/>
      <c r="K13" s="114" t="n">
        <f aca="false">IF(ISBLANK($J13),DefaultCold,$J13)</f>
        <v>0</v>
      </c>
      <c r="L13" s="113"/>
      <c r="M13" s="114" t="n">
        <f aca="false">IF(ISBLANK($L13),DefaultHeat,$L13)</f>
        <v>9999</v>
      </c>
      <c r="N13" s="116"/>
      <c r="O13" s="116"/>
      <c r="P13" s="98" t="s">
        <v>350</v>
      </c>
      <c r="Q13" s="99" t="n">
        <v>0.7</v>
      </c>
      <c r="R13" s="76" t="s">
        <v>351</v>
      </c>
    </row>
    <row r="14" customFormat="false" ht="21.75" hidden="false" customHeight="true" outlineLevel="0" collapsed="false">
      <c r="A14" s="102" t="s">
        <v>352</v>
      </c>
      <c r="B14" s="103" t="s">
        <v>110</v>
      </c>
      <c r="C14" s="103" t="s">
        <v>330</v>
      </c>
      <c r="D14" s="104" t="n">
        <v>9</v>
      </c>
      <c r="E14" s="105" t="n">
        <v>1.78</v>
      </c>
      <c r="F14" s="106" t="n">
        <f aca="false">$E14*DaysPerMonth</f>
        <v>16.02</v>
      </c>
      <c r="G14" s="107" t="s">
        <v>78</v>
      </c>
      <c r="H14" s="108" t="n">
        <v>44.4</v>
      </c>
      <c r="I14" s="109" t="n">
        <f aca="false">$H14/MAX(1,$D14-1)</f>
        <v>5.55</v>
      </c>
      <c r="J14" s="111"/>
      <c r="K14" s="110" t="n">
        <f aca="false">IF(ISBLANK($J14),DefaultCold,$J14)</f>
        <v>0</v>
      </c>
      <c r="L14" s="111"/>
      <c r="M14" s="110" t="n">
        <f aca="false">IF(ISBLANK($L14),DefaultHeat,$L14)</f>
        <v>9999</v>
      </c>
      <c r="N14" s="112"/>
      <c r="O14" s="112"/>
      <c r="P14" s="107" t="s">
        <v>353</v>
      </c>
      <c r="Q14" s="108" t="n">
        <v>0.7</v>
      </c>
      <c r="R14" s="79" t="s">
        <v>354</v>
      </c>
    </row>
    <row r="15" customFormat="false" ht="21.75" hidden="false" customHeight="true" outlineLevel="0" collapsed="false">
      <c r="A15" s="93" t="s">
        <v>355</v>
      </c>
      <c r="B15" s="94" t="s">
        <v>111</v>
      </c>
      <c r="C15" s="94" t="s">
        <v>356</v>
      </c>
      <c r="D15" s="95" t="n">
        <v>12</v>
      </c>
      <c r="E15" s="96" t="n">
        <v>1.7</v>
      </c>
      <c r="F15" s="97" t="n">
        <f aca="false">$E15*DaysPerMonth</f>
        <v>15.3</v>
      </c>
      <c r="G15" s="98" t="s">
        <v>76</v>
      </c>
      <c r="H15" s="99" t="n">
        <v>36</v>
      </c>
      <c r="I15" s="100" t="n">
        <f aca="false">$H15/MAX(1,$D15-1)</f>
        <v>3.27272727272727</v>
      </c>
      <c r="J15" s="113"/>
      <c r="K15" s="114" t="n">
        <f aca="false">IF(ISBLANK($J15),DefaultCold,$J15)</f>
        <v>0</v>
      </c>
      <c r="L15" s="113"/>
      <c r="M15" s="114" t="n">
        <f aca="false">IF(ISBLANK($L15),DefaultHeat,$L15)</f>
        <v>9999</v>
      </c>
      <c r="N15" s="116"/>
      <c r="O15" s="116"/>
      <c r="P15" s="98" t="s">
        <v>357</v>
      </c>
      <c r="Q15" s="99" t="n">
        <v>0.7</v>
      </c>
      <c r="R15" s="76" t="s">
        <v>351</v>
      </c>
    </row>
    <row r="16" customFormat="false" ht="21.75" hidden="false" customHeight="true" outlineLevel="0" collapsed="false">
      <c r="A16" s="102" t="s">
        <v>358</v>
      </c>
      <c r="B16" s="103" t="s">
        <v>112</v>
      </c>
      <c r="C16" s="103" t="s">
        <v>356</v>
      </c>
      <c r="D16" s="104" t="n">
        <v>11</v>
      </c>
      <c r="E16" s="105" t="n">
        <v>1.14</v>
      </c>
      <c r="F16" s="106" t="n">
        <f aca="false">$E16*DaysPerMonth</f>
        <v>10.26</v>
      </c>
      <c r="G16" s="107" t="s">
        <v>78</v>
      </c>
      <c r="H16" s="108" t="n">
        <v>32</v>
      </c>
      <c r="I16" s="109" t="n">
        <f aca="false">$H16/MAX(1,$D16-1)</f>
        <v>3.2</v>
      </c>
      <c r="J16" s="111"/>
      <c r="K16" s="110" t="n">
        <f aca="false">IF(ISBLANK($J16),DefaultCold,$J16)</f>
        <v>0</v>
      </c>
      <c r="L16" s="111"/>
      <c r="M16" s="110" t="n">
        <f aca="false">IF(ISBLANK($L16),DefaultHeat,$L16)</f>
        <v>9999</v>
      </c>
      <c r="N16" s="112"/>
      <c r="O16" s="112"/>
      <c r="P16" s="107" t="s">
        <v>350</v>
      </c>
      <c r="Q16" s="108" t="n">
        <v>2</v>
      </c>
      <c r="R16" s="79" t="s">
        <v>359</v>
      </c>
    </row>
    <row r="17" customFormat="false" ht="21.75" hidden="false" customHeight="true" outlineLevel="0" collapsed="false">
      <c r="A17" s="93" t="s">
        <v>360</v>
      </c>
      <c r="B17" s="94" t="s">
        <v>113</v>
      </c>
      <c r="C17" s="94" t="s">
        <v>361</v>
      </c>
      <c r="D17" s="95" t="n">
        <v>8</v>
      </c>
      <c r="E17" s="96" t="n">
        <v>1.7</v>
      </c>
      <c r="F17" s="97" t="n">
        <f aca="false">$E17*DaysPerMonth</f>
        <v>15.3</v>
      </c>
      <c r="G17" s="98" t="s">
        <v>77</v>
      </c>
      <c r="H17" s="99" t="n">
        <v>30</v>
      </c>
      <c r="I17" s="100" t="n">
        <f aca="false">$H17/MAX(1,$D17-1)</f>
        <v>4.28571428571429</v>
      </c>
      <c r="J17" s="113"/>
      <c r="K17" s="114" t="n">
        <f aca="false">IF(ISBLANK($J17),DefaultCold,$J17)</f>
        <v>0</v>
      </c>
      <c r="L17" s="113"/>
      <c r="M17" s="114" t="n">
        <f aca="false">IF(ISBLANK($L17),DefaultHeat,$L17)</f>
        <v>9999</v>
      </c>
      <c r="N17" s="116"/>
      <c r="O17" s="116"/>
      <c r="P17" s="98" t="s">
        <v>362</v>
      </c>
      <c r="Q17" s="99" t="n">
        <v>0.7</v>
      </c>
      <c r="R17" s="76" t="s">
        <v>363</v>
      </c>
    </row>
    <row r="18" customFormat="false" ht="21.75" hidden="false" customHeight="true" outlineLevel="0" collapsed="false">
      <c r="A18" s="102" t="s">
        <v>364</v>
      </c>
      <c r="B18" s="103" t="s">
        <v>114</v>
      </c>
      <c r="C18" s="103" t="s">
        <v>356</v>
      </c>
      <c r="D18" s="104" t="n">
        <v>9</v>
      </c>
      <c r="E18" s="105" t="n">
        <v>1.78</v>
      </c>
      <c r="F18" s="106" t="n">
        <f aca="false">$E18*DaysPerMonth</f>
        <v>16.02</v>
      </c>
      <c r="G18" s="107" t="s">
        <v>76</v>
      </c>
      <c r="H18" s="108" t="n">
        <v>13.33</v>
      </c>
      <c r="I18" s="109" t="n">
        <f aca="false">$H18/MAX(1,$D18-1)</f>
        <v>1.66625</v>
      </c>
      <c r="J18" s="104" t="n">
        <v>6</v>
      </c>
      <c r="K18" s="110" t="n">
        <f aca="false">IF(ISBLANK($J18),DefaultCold,$J18)</f>
        <v>6</v>
      </c>
      <c r="L18" s="104" t="n">
        <v>42</v>
      </c>
      <c r="M18" s="110" t="n">
        <f aca="false">IF(ISBLANK($L18),DefaultHeat,$L18)</f>
        <v>42</v>
      </c>
      <c r="N18" s="112"/>
      <c r="O18" s="112"/>
      <c r="P18" s="107" t="s">
        <v>353</v>
      </c>
      <c r="Q18" s="108" t="n">
        <v>2</v>
      </c>
      <c r="R18" s="79" t="s">
        <v>365</v>
      </c>
    </row>
    <row r="19" customFormat="false" ht="21.75" hidden="false" customHeight="true" outlineLevel="0" collapsed="false">
      <c r="A19" s="93" t="s">
        <v>366</v>
      </c>
      <c r="B19" s="94" t="s">
        <v>115</v>
      </c>
      <c r="C19" s="94" t="s">
        <v>356</v>
      </c>
      <c r="D19" s="95" t="n">
        <v>9</v>
      </c>
      <c r="E19" s="96" t="n">
        <v>4.4</v>
      </c>
      <c r="F19" s="97" t="n">
        <f aca="false">$E19*DaysPerMonth</f>
        <v>39.6</v>
      </c>
      <c r="G19" s="98" t="s">
        <v>78</v>
      </c>
      <c r="H19" s="99" t="n">
        <v>22.2</v>
      </c>
      <c r="I19" s="100" t="n">
        <f aca="false">$H19/MAX(1,$D19-1)</f>
        <v>2.775</v>
      </c>
      <c r="J19" s="95" t="n">
        <v>4</v>
      </c>
      <c r="K19" s="101" t="n">
        <f aca="false">IF(ISBLANK($J19),DefaultCold,$J19)</f>
        <v>4</v>
      </c>
      <c r="L19" s="95" t="n">
        <v>44</v>
      </c>
      <c r="M19" s="101" t="n">
        <f aca="false">IF(ISBLANK($L19),DefaultHeat,$L19)</f>
        <v>44</v>
      </c>
      <c r="N19" s="116"/>
      <c r="O19" s="116"/>
      <c r="P19" s="98" t="s">
        <v>367</v>
      </c>
      <c r="Q19" s="99" t="n">
        <v>5</v>
      </c>
      <c r="R19" s="76" t="s">
        <v>368</v>
      </c>
    </row>
    <row r="20" customFormat="false" ht="21.75" hidden="false" customHeight="true" outlineLevel="0" collapsed="false">
      <c r="A20" s="102" t="s">
        <v>369</v>
      </c>
      <c r="B20" s="103" t="s">
        <v>116</v>
      </c>
      <c r="C20" s="103" t="s">
        <v>356</v>
      </c>
      <c r="D20" s="104" t="n">
        <v>9</v>
      </c>
      <c r="E20" s="105" t="n">
        <v>2.2</v>
      </c>
      <c r="F20" s="106" t="n">
        <f aca="false">$E20*DaysPerMonth</f>
        <v>19.8</v>
      </c>
      <c r="G20" s="107" t="s">
        <v>77</v>
      </c>
      <c r="H20" s="108" t="n">
        <v>40</v>
      </c>
      <c r="I20" s="109" t="n">
        <f aca="false">$H20/MAX(1,$D20-1)</f>
        <v>5</v>
      </c>
      <c r="J20" s="104" t="n">
        <v>10</v>
      </c>
      <c r="K20" s="110" t="n">
        <f aca="false">IF(ISBLANK($J20),DefaultCold,$J20)</f>
        <v>10</v>
      </c>
      <c r="L20" s="104" t="n">
        <v>42</v>
      </c>
      <c r="M20" s="110" t="n">
        <f aca="false">IF(ISBLANK($L20),DefaultHeat,$L20)</f>
        <v>42</v>
      </c>
      <c r="N20" s="112"/>
      <c r="O20" s="112"/>
      <c r="P20" s="107" t="s">
        <v>370</v>
      </c>
      <c r="Q20" s="108" t="n">
        <v>4</v>
      </c>
      <c r="R20" s="79"/>
    </row>
    <row r="21" customFormat="false" ht="21.75" hidden="false" customHeight="true" outlineLevel="0" collapsed="false">
      <c r="A21" s="93" t="s">
        <v>371</v>
      </c>
      <c r="B21" s="94" t="s">
        <v>117</v>
      </c>
      <c r="C21" s="94" t="s">
        <v>356</v>
      </c>
      <c r="D21" s="95" t="n">
        <v>10</v>
      </c>
      <c r="E21" s="96" t="n">
        <v>2</v>
      </c>
      <c r="F21" s="97" t="n">
        <f aca="false">$E21*DaysPerMonth</f>
        <v>18</v>
      </c>
      <c r="G21" s="98" t="s">
        <v>78</v>
      </c>
      <c r="H21" s="99" t="n">
        <v>45</v>
      </c>
      <c r="I21" s="100" t="n">
        <f aca="false">$H21/MAX(1,$D21-1)</f>
        <v>5</v>
      </c>
      <c r="J21" s="95" t="n">
        <v>8</v>
      </c>
      <c r="K21" s="101" t="n">
        <f aca="false">IF(ISBLANK($J21),DefaultCold,$J21)</f>
        <v>8</v>
      </c>
      <c r="L21" s="95" t="n">
        <v>46</v>
      </c>
      <c r="M21" s="101" t="n">
        <f aca="false">IF(ISBLANK($L21),DefaultHeat,$L21)</f>
        <v>46</v>
      </c>
      <c r="N21" s="116"/>
      <c r="O21" s="116"/>
      <c r="P21" s="98" t="s">
        <v>357</v>
      </c>
      <c r="Q21" s="99" t="n">
        <v>0.7</v>
      </c>
      <c r="R21" s="76"/>
    </row>
    <row r="22" customFormat="false" ht="21.75" hidden="false" customHeight="true" outlineLevel="0" collapsed="false">
      <c r="A22" s="102" t="s">
        <v>372</v>
      </c>
      <c r="B22" s="103" t="s">
        <v>118</v>
      </c>
      <c r="C22" s="103" t="s">
        <v>356</v>
      </c>
      <c r="D22" s="104" t="n">
        <v>16</v>
      </c>
      <c r="E22" s="105" t="n">
        <v>5.6</v>
      </c>
      <c r="F22" s="106" t="n">
        <f aca="false">$E22*DaysPerMonth</f>
        <v>50.4</v>
      </c>
      <c r="G22" s="107" t="s">
        <v>76</v>
      </c>
      <c r="H22" s="108" t="n">
        <v>14</v>
      </c>
      <c r="I22" s="109" t="n">
        <f aca="false">$H22/MAX(1,$D22-1)</f>
        <v>0.933333333333333</v>
      </c>
      <c r="J22" s="104" t="n">
        <v>6</v>
      </c>
      <c r="K22" s="110" t="n">
        <f aca="false">IF(ISBLANK($J22),DefaultCold,$J22)</f>
        <v>6</v>
      </c>
      <c r="L22" s="104" t="n">
        <v>48</v>
      </c>
      <c r="M22" s="110" t="n">
        <f aca="false">IF(ISBLANK($L22),DefaultHeat,$L22)</f>
        <v>48</v>
      </c>
      <c r="N22" s="112"/>
      <c r="O22" s="112"/>
      <c r="P22" s="107" t="s">
        <v>373</v>
      </c>
      <c r="Q22" s="108" t="n">
        <v>0.7</v>
      </c>
      <c r="R22" s="79" t="s">
        <v>374</v>
      </c>
    </row>
    <row r="25" customFormat="false" ht="24" hidden="false" customHeight="true" outlineLevel="0" collapsed="false">
      <c r="A25" s="5" t="s">
        <v>375</v>
      </c>
      <c r="B25" s="5"/>
      <c r="C25" s="5"/>
      <c r="D25" s="5"/>
      <c r="E25" s="5"/>
      <c r="F25" s="5"/>
      <c r="G25" s="5"/>
      <c r="H25" s="5"/>
      <c r="I25" s="5"/>
      <c r="J25" s="5"/>
      <c r="K25" s="5"/>
      <c r="L25" s="5"/>
      <c r="M25" s="5"/>
      <c r="N25" s="5"/>
      <c r="O25" s="5"/>
      <c r="P25" s="5"/>
      <c r="Q25" s="5"/>
      <c r="R25" s="5"/>
    </row>
  </sheetData>
  <mergeCells count="3">
    <mergeCell ref="A1:R1"/>
    <mergeCell ref="A2:R2"/>
    <mergeCell ref="A25:R25"/>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2B788"/>
    <pageSetUpPr fitToPage="true"/>
  </sheetPr>
  <dimension ref="A1:F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14"/>
    <col collapsed="false" customWidth="true" hidden="false" outlineLevel="0" max="3" min="3" style="1" width="24"/>
    <col collapsed="false" customWidth="true" hidden="false" outlineLevel="0" max="4" min="4" style="1" width="12"/>
    <col collapsed="false" customWidth="true" hidden="false" outlineLevel="0" max="5" min="5" style="1" width="26"/>
    <col collapsed="false" customWidth="true" hidden="false" outlineLevel="0" max="6" min="6" style="1" width="50"/>
  </cols>
  <sheetData>
    <row r="1" customFormat="false" ht="36" hidden="false" customHeight="true" outlineLevel="0" collapsed="false">
      <c r="A1" s="2" t="s">
        <v>376</v>
      </c>
      <c r="B1" s="2"/>
      <c r="C1" s="2"/>
      <c r="D1" s="2"/>
      <c r="E1" s="2"/>
      <c r="F1" s="2"/>
    </row>
    <row r="2" customFormat="false" ht="18" hidden="false" customHeight="true" outlineLevel="0" collapsed="false">
      <c r="A2" s="3" t="s">
        <v>377</v>
      </c>
      <c r="B2" s="3"/>
      <c r="C2" s="3"/>
      <c r="D2" s="3"/>
      <c r="E2" s="3"/>
      <c r="F2" s="3"/>
    </row>
    <row r="3" customFormat="false" ht="3.75" hidden="false" customHeight="true" outlineLevel="0" collapsed="false">
      <c r="A3" s="4"/>
      <c r="B3" s="4"/>
      <c r="C3" s="4"/>
      <c r="D3" s="4"/>
      <c r="E3" s="4"/>
      <c r="F3" s="4"/>
    </row>
    <row r="4" customFormat="false" ht="21.75" hidden="false" customHeight="true" outlineLevel="0" collapsed="false">
      <c r="A4" s="37"/>
      <c r="B4" s="37" t="s">
        <v>378</v>
      </c>
      <c r="C4" s="37" t="s">
        <v>379</v>
      </c>
      <c r="D4" s="37" t="s">
        <v>380</v>
      </c>
      <c r="E4" s="37" t="s">
        <v>381</v>
      </c>
      <c r="F4" s="37" t="s">
        <v>328</v>
      </c>
    </row>
    <row r="5" customFormat="false" ht="21.75" hidden="false" customHeight="true" outlineLevel="0" collapsed="false">
      <c r="A5" s="38"/>
      <c r="B5" s="98" t="s">
        <v>382</v>
      </c>
      <c r="C5" s="117" t="s">
        <v>383</v>
      </c>
      <c r="D5" s="95" t="n">
        <v>5</v>
      </c>
      <c r="E5" s="76" t="s">
        <v>384</v>
      </c>
      <c r="F5" s="76" t="s">
        <v>385</v>
      </c>
    </row>
    <row r="6" customFormat="false" ht="21.75" hidden="false" customHeight="true" outlineLevel="0" collapsed="false">
      <c r="A6" s="45"/>
      <c r="B6" s="107" t="s">
        <v>386</v>
      </c>
      <c r="C6" s="118" t="s">
        <v>387</v>
      </c>
      <c r="D6" s="104" t="n">
        <v>25</v>
      </c>
      <c r="E6" s="79" t="s">
        <v>388</v>
      </c>
      <c r="F6" s="79" t="s">
        <v>389</v>
      </c>
    </row>
    <row r="7" customFormat="false" ht="21.75" hidden="false" customHeight="true" outlineLevel="0" collapsed="false">
      <c r="A7" s="38"/>
      <c r="B7" s="98" t="s">
        <v>390</v>
      </c>
      <c r="C7" s="117" t="s">
        <v>391</v>
      </c>
      <c r="D7" s="95" t="n">
        <v>50</v>
      </c>
      <c r="E7" s="76" t="s">
        <v>392</v>
      </c>
      <c r="F7" s="76" t="s">
        <v>393</v>
      </c>
    </row>
    <row r="8" customFormat="false" ht="21.75" hidden="false" customHeight="true" outlineLevel="0" collapsed="false">
      <c r="A8" s="45"/>
      <c r="B8" s="107" t="s">
        <v>394</v>
      </c>
      <c r="C8" s="118" t="s">
        <v>395</v>
      </c>
      <c r="D8" s="104" t="n">
        <v>65</v>
      </c>
      <c r="E8" s="79" t="s">
        <v>396</v>
      </c>
      <c r="F8" s="79" t="s">
        <v>397</v>
      </c>
    </row>
    <row r="9" customFormat="false" ht="21.75" hidden="false" customHeight="true" outlineLevel="0" collapsed="false">
      <c r="A9" s="38"/>
      <c r="B9" s="98" t="s">
        <v>398</v>
      </c>
      <c r="C9" s="117" t="s">
        <v>399</v>
      </c>
      <c r="D9" s="95" t="n">
        <v>80</v>
      </c>
      <c r="E9" s="76" t="s">
        <v>400</v>
      </c>
      <c r="F9" s="76" t="s">
        <v>401</v>
      </c>
    </row>
    <row r="10" customFormat="false" ht="21.75" hidden="false" customHeight="true" outlineLevel="0" collapsed="false">
      <c r="A10" s="45"/>
      <c r="B10" s="119" t="s">
        <v>402</v>
      </c>
      <c r="C10" s="120" t="s">
        <v>403</v>
      </c>
      <c r="D10" s="121" t="n">
        <v>30</v>
      </c>
      <c r="E10" s="122" t="s">
        <v>404</v>
      </c>
      <c r="F10" s="123" t="s">
        <v>405</v>
      </c>
    </row>
    <row r="12" customFormat="false" ht="24" hidden="false" customHeight="true" outlineLevel="0" collapsed="false">
      <c r="A12" s="5" t="s">
        <v>406</v>
      </c>
      <c r="B12" s="5"/>
      <c r="C12" s="5"/>
      <c r="D12" s="5"/>
      <c r="E12" s="5"/>
      <c r="F12" s="5"/>
    </row>
    <row r="13" customFormat="false" ht="15" hidden="false" customHeight="true" outlineLevel="0" collapsed="false">
      <c r="B13" s="6" t="s">
        <v>407</v>
      </c>
      <c r="C13" s="6"/>
      <c r="D13" s="6"/>
      <c r="E13" s="6"/>
      <c r="F13" s="6"/>
    </row>
    <row r="14" customFormat="false" ht="15" hidden="false" customHeight="true" outlineLevel="0" collapsed="false">
      <c r="B14" s="6" t="s">
        <v>408</v>
      </c>
      <c r="C14" s="6"/>
      <c r="D14" s="6"/>
      <c r="E14" s="6"/>
      <c r="F14" s="6"/>
    </row>
    <row r="15" customFormat="false" ht="15" hidden="false" customHeight="true" outlineLevel="0" collapsed="false">
      <c r="B15" s="6" t="s">
        <v>409</v>
      </c>
      <c r="C15" s="6"/>
      <c r="D15" s="6"/>
      <c r="E15" s="6"/>
      <c r="F15" s="6"/>
    </row>
    <row r="16" customFormat="false" ht="15" hidden="false" customHeight="true" outlineLevel="0" collapsed="false">
      <c r="B16" s="6" t="s">
        <v>410</v>
      </c>
      <c r="C16" s="6"/>
      <c r="D16" s="6"/>
      <c r="E16" s="6"/>
      <c r="F16" s="6"/>
    </row>
    <row r="19" customFormat="false" ht="24" hidden="false" customHeight="true" outlineLevel="0" collapsed="false">
      <c r="A19" s="5" t="s">
        <v>411</v>
      </c>
      <c r="B19" s="5"/>
      <c r="C19" s="5"/>
      <c r="D19" s="5"/>
      <c r="E19" s="5"/>
      <c r="F19" s="5"/>
    </row>
  </sheetData>
  <mergeCells count="8">
    <mergeCell ref="A1:F1"/>
    <mergeCell ref="A2:F2"/>
    <mergeCell ref="A12:F12"/>
    <mergeCell ref="B13:F13"/>
    <mergeCell ref="B14:F14"/>
    <mergeCell ref="B15:F15"/>
    <mergeCell ref="B16:F16"/>
    <mergeCell ref="A19:F19"/>
  </mergeCells>
  <printOptions headings="false" gridLines="false" gridLinesSet="true" horizontalCentered="false" verticalCentered="false"/>
  <pageMargins left="0.25" right="0.25" top="0.4" bottom="0.4"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2B788"/>
    <pageSetUpPr fitToPage="true"/>
  </sheetPr>
  <dimension ref="A1:J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14"/>
    <col collapsed="false" customWidth="true" hidden="false" outlineLevel="0" max="5" min="3" style="1" width="8"/>
    <col collapsed="false" customWidth="true" hidden="false" outlineLevel="0" max="6" min="6" style="1" width="18"/>
    <col collapsed="false" customWidth="true" hidden="false" outlineLevel="0" max="7" min="7" style="1" width="50"/>
    <col collapsed="false" customWidth="true" hidden="false" outlineLevel="0" max="10" min="9" style="1" width="12"/>
  </cols>
  <sheetData>
    <row r="1" customFormat="false" ht="36" hidden="false" customHeight="true" outlineLevel="0" collapsed="false">
      <c r="A1" s="2" t="s">
        <v>412</v>
      </c>
      <c r="B1" s="2"/>
      <c r="C1" s="2"/>
      <c r="D1" s="2"/>
      <c r="E1" s="2"/>
      <c r="F1" s="2"/>
      <c r="G1" s="2"/>
      <c r="H1" s="124"/>
      <c r="I1" s="124"/>
      <c r="J1" s="124"/>
    </row>
    <row r="2" customFormat="false" ht="18" hidden="false" customHeight="true" outlineLevel="0" collapsed="false">
      <c r="A2" s="3" t="s">
        <v>413</v>
      </c>
      <c r="B2" s="3"/>
      <c r="C2" s="20"/>
      <c r="D2" s="20"/>
      <c r="E2" s="20"/>
      <c r="F2" s="20"/>
      <c r="G2" s="20"/>
      <c r="H2" s="20"/>
      <c r="I2" s="20"/>
      <c r="J2" s="20"/>
    </row>
    <row r="3" customFormat="false" ht="3.75" hidden="false" customHeight="true" outlineLevel="0" collapsed="false">
      <c r="A3" s="4"/>
      <c r="B3" s="4"/>
      <c r="C3" s="4"/>
      <c r="D3" s="4"/>
      <c r="E3" s="4"/>
      <c r="F3" s="4"/>
      <c r="G3" s="4"/>
      <c r="H3" s="4"/>
      <c r="I3" s="4"/>
      <c r="J3" s="4"/>
    </row>
    <row r="4" customFormat="false" ht="24" hidden="false" customHeight="true" outlineLevel="0" collapsed="false">
      <c r="A4" s="5" t="s">
        <v>414</v>
      </c>
      <c r="B4" s="5"/>
      <c r="C4" s="5"/>
      <c r="D4" s="5"/>
      <c r="E4" s="5"/>
      <c r="F4" s="5"/>
      <c r="G4" s="5"/>
      <c r="H4" s="5"/>
      <c r="I4" s="5"/>
      <c r="J4" s="5"/>
    </row>
    <row r="5" customFormat="false" ht="21.75" hidden="false" customHeight="true" outlineLevel="0" collapsed="false">
      <c r="A5" s="37"/>
      <c r="B5" s="37" t="s">
        <v>313</v>
      </c>
      <c r="C5" s="37" t="s">
        <v>76</v>
      </c>
      <c r="D5" s="37" t="s">
        <v>77</v>
      </c>
      <c r="E5" s="37" t="s">
        <v>78</v>
      </c>
      <c r="F5" s="37" t="s">
        <v>415</v>
      </c>
      <c r="G5" s="37" t="s">
        <v>416</v>
      </c>
    </row>
    <row r="6" customFormat="false" ht="21.75" hidden="false" customHeight="true" outlineLevel="0" collapsed="false">
      <c r="A6" s="38"/>
      <c r="B6" s="125" t="s">
        <v>417</v>
      </c>
      <c r="C6" s="95" t="n">
        <v>0</v>
      </c>
      <c r="D6" s="95" t="n">
        <v>0</v>
      </c>
      <c r="E6" s="95" t="n">
        <v>60</v>
      </c>
      <c r="F6" s="98" t="s">
        <v>418</v>
      </c>
      <c r="G6" s="76" t="s">
        <v>419</v>
      </c>
    </row>
    <row r="7" customFormat="false" ht="21.75" hidden="false" customHeight="true" outlineLevel="0" collapsed="false">
      <c r="A7" s="45"/>
      <c r="B7" s="126" t="s">
        <v>420</v>
      </c>
      <c r="C7" s="104" t="n">
        <v>13</v>
      </c>
      <c r="D7" s="104" t="n">
        <v>0</v>
      </c>
      <c r="E7" s="104" t="n">
        <v>44</v>
      </c>
      <c r="F7" s="78" t="s">
        <v>421</v>
      </c>
      <c r="G7" s="79" t="s">
        <v>422</v>
      </c>
    </row>
    <row r="8" customFormat="false" ht="21.75" hidden="false" customHeight="true" outlineLevel="0" collapsed="false">
      <c r="A8" s="38"/>
      <c r="B8" s="125" t="s">
        <v>423</v>
      </c>
      <c r="C8" s="95" t="n">
        <v>3</v>
      </c>
      <c r="D8" s="95" t="n">
        <v>30</v>
      </c>
      <c r="E8" s="95" t="n">
        <v>0</v>
      </c>
      <c r="F8" s="75" t="s">
        <v>421</v>
      </c>
      <c r="G8" s="76" t="s">
        <v>424</v>
      </c>
    </row>
    <row r="9" customFormat="false" ht="21.75" hidden="false" customHeight="true" outlineLevel="0" collapsed="false">
      <c r="A9" s="45"/>
      <c r="B9" s="126" t="s">
        <v>425</v>
      </c>
      <c r="C9" s="104" t="n">
        <v>40</v>
      </c>
      <c r="D9" s="104" t="n">
        <v>8</v>
      </c>
      <c r="E9" s="104" t="n">
        <v>8</v>
      </c>
      <c r="F9" s="78" t="s">
        <v>421</v>
      </c>
      <c r="G9" s="79" t="s">
        <v>426</v>
      </c>
    </row>
    <row r="12" customFormat="false" ht="24" hidden="false" customHeight="true" outlineLevel="0" collapsed="false">
      <c r="A12" s="5" t="s">
        <v>427</v>
      </c>
      <c r="B12" s="5"/>
      <c r="C12" s="5"/>
      <c r="D12" s="5"/>
      <c r="E12" s="5"/>
      <c r="F12" s="5"/>
      <c r="G12" s="5"/>
      <c r="H12" s="5"/>
      <c r="I12" s="5"/>
      <c r="J12" s="5"/>
    </row>
    <row r="13" customFormat="false" ht="36" hidden="false" customHeight="true" outlineLevel="0" collapsed="false">
      <c r="A13" s="127" t="s">
        <v>428</v>
      </c>
      <c r="B13" s="127"/>
      <c r="C13" s="127"/>
      <c r="D13" s="127"/>
      <c r="E13" s="127"/>
      <c r="F13" s="127"/>
      <c r="G13" s="127"/>
    </row>
    <row r="15" customFormat="false" ht="15" hidden="false" customHeight="true" outlineLevel="0" collapsed="false">
      <c r="B15" s="128" t="s">
        <v>429</v>
      </c>
      <c r="C15" s="129" t="s">
        <v>425</v>
      </c>
      <c r="I15" s="130" t="s">
        <v>430</v>
      </c>
      <c r="J15" s="131" t="n">
        <f aca="false">VLOOKUP($C$15,$B$6:$E$9,2,FALSE())</f>
        <v>40</v>
      </c>
    </row>
    <row r="16" customFormat="false" ht="15" hidden="false" customHeight="true" outlineLevel="0" collapsed="false">
      <c r="B16" s="128" t="s">
        <v>431</v>
      </c>
      <c r="C16" s="132" t="n">
        <v>50</v>
      </c>
      <c r="D16" s="132" t="n">
        <v>50</v>
      </c>
      <c r="E16" s="132" t="n">
        <v>50</v>
      </c>
      <c r="F16" s="130" t="s">
        <v>432</v>
      </c>
      <c r="I16" s="130" t="s">
        <v>433</v>
      </c>
      <c r="J16" s="131" t="n">
        <f aca="false">VLOOKUP($C$15,$B$6:$E$9,3,FALSE())</f>
        <v>8</v>
      </c>
    </row>
    <row r="17" customFormat="false" ht="15" hidden="false" customHeight="true" outlineLevel="0" collapsed="false">
      <c r="I17" s="130" t="s">
        <v>434</v>
      </c>
      <c r="J17" s="131" t="n">
        <f aca="false">VLOOKUP($C$15,$B$6:$E$9,4,FALSE())</f>
        <v>8</v>
      </c>
    </row>
    <row r="18" customFormat="false" ht="15" hidden="false" customHeight="true" outlineLevel="0" collapsed="false">
      <c r="I18" s="130" t="s">
        <v>435</v>
      </c>
      <c r="J18" s="131" t="n">
        <f aca="false">IF($C$15="Potash",0,0)</f>
        <v>0</v>
      </c>
    </row>
    <row r="19" customFormat="false" ht="21.75" hidden="false" customHeight="true" outlineLevel="0" collapsed="false">
      <c r="A19" s="37"/>
      <c r="B19" s="37" t="s">
        <v>436</v>
      </c>
      <c r="C19" s="37" t="s">
        <v>76</v>
      </c>
      <c r="D19" s="37" t="s">
        <v>77</v>
      </c>
      <c r="E19" s="37" t="s">
        <v>78</v>
      </c>
      <c r="F19" s="37" t="s">
        <v>437</v>
      </c>
      <c r="G19" s="37" t="s">
        <v>328</v>
      </c>
      <c r="I19" s="130" t="s">
        <v>438</v>
      </c>
      <c r="J19" s="131" t="n">
        <f aca="false">IF($C$15="Potash",0,0)</f>
        <v>0</v>
      </c>
    </row>
    <row r="20" customFormat="false" ht="21.75" hidden="false" customHeight="true" outlineLevel="0" collapsed="false">
      <c r="A20" s="38"/>
      <c r="B20" s="94" t="n">
        <v>1</v>
      </c>
      <c r="C20" s="93" t="n">
        <f aca="false">MIN(FertCap,MAX(0,$C$16+$J$18+$J$21))</f>
        <v>60</v>
      </c>
      <c r="D20" s="93" t="n">
        <f aca="false">MIN(FertCap,MAX(0,$D$16+$J$19+$J$22))</f>
        <v>52</v>
      </c>
      <c r="E20" s="93" t="n">
        <f aca="false">MIN(FertCap,MAX(0,$E$16+$J$20+$J$23))</f>
        <v>52</v>
      </c>
      <c r="F20" s="75" t="str">
        <f aca="false">IF(OR($J$18&gt;0,$J$19&gt;0,$J$20&gt;0),"YES","(none)")</f>
        <v>(none)</v>
      </c>
      <c r="G20" s="38"/>
      <c r="I20" s="130" t="s">
        <v>439</v>
      </c>
      <c r="J20" s="131" t="n">
        <f aca="false">IF($C$15="Potash",15,0)</f>
        <v>0</v>
      </c>
    </row>
    <row r="21" customFormat="false" ht="21.75" hidden="false" customHeight="true" outlineLevel="0" collapsed="false">
      <c r="A21" s="45"/>
      <c r="B21" s="103" t="n">
        <v>2</v>
      </c>
      <c r="C21" s="102" t="n">
        <f aca="false">MIN(FertCap,MAX(0,$C20+$J$21))</f>
        <v>70</v>
      </c>
      <c r="D21" s="102" t="n">
        <f aca="false">MIN(FertCap,MAX(0,$D20+$J$22))</f>
        <v>54</v>
      </c>
      <c r="E21" s="102" t="n">
        <f aca="false">MIN(FertCap,MAX(0,$E20+$J$23))</f>
        <v>54</v>
      </c>
      <c r="F21" s="78" t="s">
        <v>421</v>
      </c>
      <c r="G21" s="45"/>
      <c r="I21" s="130" t="s">
        <v>440</v>
      </c>
      <c r="J21" s="131" t="n">
        <f aca="false">INT(ROUND($J$15*PerkPct,1))</f>
        <v>10</v>
      </c>
    </row>
    <row r="22" customFormat="false" ht="21.75" hidden="false" customHeight="true" outlineLevel="0" collapsed="false">
      <c r="A22" s="38"/>
      <c r="B22" s="94" t="n">
        <v>3</v>
      </c>
      <c r="C22" s="93" t="n">
        <f aca="false">MIN(FertCap,MAX(0,$C21+$J$21))</f>
        <v>80</v>
      </c>
      <c r="D22" s="93" t="n">
        <f aca="false">MIN(FertCap,MAX(0,$D21+$J$22))</f>
        <v>56</v>
      </c>
      <c r="E22" s="93" t="n">
        <f aca="false">MIN(FertCap,MAX(0,$E21+$J$23))</f>
        <v>56</v>
      </c>
      <c r="F22" s="75" t="s">
        <v>421</v>
      </c>
      <c r="G22" s="38"/>
      <c r="I22" s="130" t="s">
        <v>441</v>
      </c>
      <c r="J22" s="131" t="n">
        <f aca="false">INT(ROUND($J$16*PerkPct,1))</f>
        <v>2</v>
      </c>
    </row>
    <row r="23" customFormat="false" ht="21.75" hidden="false" customHeight="true" outlineLevel="0" collapsed="false">
      <c r="A23" s="45"/>
      <c r="B23" s="103" t="n">
        <v>4</v>
      </c>
      <c r="C23" s="102" t="n">
        <f aca="false">MIN(FertCap,MAX(0,$C22+$J$21))</f>
        <v>90</v>
      </c>
      <c r="D23" s="102" t="n">
        <f aca="false">MIN(FertCap,MAX(0,$D22+$J$22))</f>
        <v>58</v>
      </c>
      <c r="E23" s="102" t="n">
        <f aca="false">MIN(FertCap,MAX(0,$E22+$J$23))</f>
        <v>58</v>
      </c>
      <c r="F23" s="78" t="s">
        <v>421</v>
      </c>
      <c r="G23" s="45"/>
      <c r="I23" s="130" t="s">
        <v>442</v>
      </c>
      <c r="J23" s="131" t="n">
        <f aca="false">INT(ROUND($J$17*PerkPct,1))</f>
        <v>2</v>
      </c>
    </row>
    <row r="24" customFormat="false" ht="21.75" hidden="false" customHeight="true" outlineLevel="0" collapsed="false">
      <c r="A24" s="38"/>
      <c r="B24" s="94" t="n">
        <v>5</v>
      </c>
      <c r="C24" s="93" t="n">
        <f aca="false">MIN(FertCap,MAX(0,$C23+$J$21))</f>
        <v>100</v>
      </c>
      <c r="D24" s="93" t="n">
        <f aca="false">MIN(FertCap,MAX(0,$D23+$J$22))</f>
        <v>60</v>
      </c>
      <c r="E24" s="93" t="n">
        <f aca="false">MIN(FertCap,MAX(0,$E23+$J$23))</f>
        <v>60</v>
      </c>
      <c r="F24" s="75" t="s">
        <v>421</v>
      </c>
      <c r="G24" s="38"/>
    </row>
    <row r="25" customFormat="false" ht="21.75" hidden="false" customHeight="true" outlineLevel="0" collapsed="false">
      <c r="A25" s="45"/>
      <c r="B25" s="103" t="n">
        <v>6</v>
      </c>
      <c r="C25" s="102" t="n">
        <f aca="false">MIN(FertCap,MAX(0,$C24+$J$21))</f>
        <v>100</v>
      </c>
      <c r="D25" s="102" t="n">
        <f aca="false">MIN(FertCap,MAX(0,$D24+$J$22))</f>
        <v>62</v>
      </c>
      <c r="E25" s="102" t="n">
        <f aca="false">MIN(FertCap,MAX(0,$E24+$J$23))</f>
        <v>62</v>
      </c>
      <c r="F25" s="78" t="s">
        <v>421</v>
      </c>
      <c r="G25" s="45"/>
    </row>
    <row r="27" customFormat="false" ht="36" hidden="false" customHeight="true" outlineLevel="0" collapsed="false">
      <c r="A27" s="127" t="s">
        <v>443</v>
      </c>
      <c r="B27" s="127"/>
      <c r="C27" s="127"/>
      <c r="D27" s="127"/>
      <c r="E27" s="127"/>
      <c r="F27" s="127"/>
      <c r="G27" s="127"/>
    </row>
    <row r="28" customFormat="false" ht="36" hidden="false" customHeight="true" outlineLevel="0" collapsed="false">
      <c r="A28" s="127" t="s">
        <v>444</v>
      </c>
      <c r="B28" s="127"/>
      <c r="C28" s="127"/>
      <c r="D28" s="127"/>
      <c r="E28" s="127"/>
      <c r="F28" s="127"/>
      <c r="G28" s="127"/>
    </row>
    <row r="30" customFormat="false" ht="24" hidden="false" customHeight="true" outlineLevel="0" collapsed="false">
      <c r="A30" s="5" t="s">
        <v>375</v>
      </c>
      <c r="B30" s="5"/>
      <c r="C30" s="5"/>
      <c r="D30" s="5"/>
      <c r="E30" s="5"/>
      <c r="F30" s="5"/>
      <c r="G30" s="5"/>
      <c r="H30" s="133"/>
      <c r="I30" s="133"/>
      <c r="J30" s="133"/>
    </row>
  </sheetData>
  <mergeCells count="8">
    <mergeCell ref="A1:G1"/>
    <mergeCell ref="A2:B2"/>
    <mergeCell ref="A4:J4"/>
    <mergeCell ref="A12:J12"/>
    <mergeCell ref="A13:G13"/>
    <mergeCell ref="A27:G27"/>
    <mergeCell ref="A28:G28"/>
    <mergeCell ref="A30:G30"/>
  </mergeCells>
  <conditionalFormatting sqref="C20:C25">
    <cfRule type="cellIs" priority="2" operator="greaterThanOrEqual" aboveAverage="0" equalAverage="0" bottom="0" percent="0" rank="0" text="" dxfId="6">
      <formula>100</formula>
    </cfRule>
  </conditionalFormatting>
  <conditionalFormatting sqref="D20:D25">
    <cfRule type="cellIs" priority="3" operator="greaterThanOrEqual" aboveAverage="0" equalAverage="0" bottom="0" percent="0" rank="0" text="" dxfId="6">
      <formula>100</formula>
    </cfRule>
  </conditionalFormatting>
  <conditionalFormatting sqref="E20:E25">
    <cfRule type="cellIs" priority="4" operator="greaterThanOrEqual" aboveAverage="0" equalAverage="0" bottom="0" percent="0" rank="0" text="" dxfId="6">
      <formula>100</formula>
    </cfRule>
  </conditionalFormatting>
  <dataValidations count="1">
    <dataValidation allowBlank="false" errorStyle="stop" operator="between" showDropDown="false" showErrorMessage="false" showInputMessage="false" sqref="C15" type="list">
      <formula1>"Potash,Saltpeter,Bonemeal,Compost"</formula1>
      <formula2>0</formula2>
    </dataValidation>
  </dataValidation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A15E"/>
    <pageSetUpPr fitToPage="true"/>
  </sheetPr>
  <dimension ref="A1:DG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109" min="2" style="1" width="3"/>
    <col collapsed="false" customWidth="true" hidden="false" outlineLevel="0" max="110" min="110" style="1" width="12"/>
    <col collapsed="false" customWidth="true" hidden="false" outlineLevel="0" max="111" min="111" style="1" width="14"/>
  </cols>
  <sheetData>
    <row r="1" customFormat="false" ht="36" hidden="false" customHeight="true" outlineLevel="0" collapsed="false">
      <c r="A1" s="2" t="s">
        <v>445</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row>
    <row r="2" customFormat="false" ht="18" hidden="false" customHeight="true" outlineLevel="0" collapsed="false">
      <c r="A2" s="3" t="s">
        <v>446</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row>
    <row r="3" customFormat="false" ht="15" hidden="false" customHeight="true" outlineLevel="0" collapsed="false">
      <c r="A3" s="128" t="s">
        <v>447</v>
      </c>
      <c r="B3" s="134" t="str">
        <f aca="false">IF(GlobalGH,"ON (+5°C)","OFF")</f>
        <v>OFF</v>
      </c>
      <c r="C3" s="134"/>
      <c r="D3" s="134"/>
      <c r="E3" s="134"/>
      <c r="F3" s="134"/>
    </row>
    <row r="4" customFormat="false" ht="15" hidden="false" customHeight="true" outlineLevel="0" collapsed="false">
      <c r="A4" s="135" t="s">
        <v>448</v>
      </c>
      <c r="B4" s="136" t="s">
        <v>449</v>
      </c>
      <c r="C4" s="136"/>
      <c r="D4" s="136"/>
      <c r="E4" s="136"/>
      <c r="F4" s="136"/>
      <c r="G4" s="136"/>
      <c r="H4" s="136"/>
      <c r="I4" s="136"/>
      <c r="J4" s="136"/>
      <c r="K4" s="136" t="s">
        <v>450</v>
      </c>
      <c r="L4" s="136"/>
      <c r="M4" s="136"/>
      <c r="N4" s="136"/>
      <c r="O4" s="136"/>
      <c r="P4" s="136"/>
      <c r="Q4" s="136"/>
      <c r="R4" s="136"/>
      <c r="S4" s="136"/>
      <c r="T4" s="136" t="s">
        <v>451</v>
      </c>
      <c r="U4" s="136"/>
      <c r="V4" s="136"/>
      <c r="W4" s="136"/>
      <c r="X4" s="136"/>
      <c r="Y4" s="136"/>
      <c r="Z4" s="136"/>
      <c r="AA4" s="136"/>
      <c r="AB4" s="136"/>
      <c r="AC4" s="136" t="s">
        <v>452</v>
      </c>
      <c r="AD4" s="136"/>
      <c r="AE4" s="136"/>
      <c r="AF4" s="136"/>
      <c r="AG4" s="136"/>
      <c r="AH4" s="136"/>
      <c r="AI4" s="136"/>
      <c r="AJ4" s="136"/>
      <c r="AK4" s="136"/>
      <c r="AL4" s="136" t="s">
        <v>453</v>
      </c>
      <c r="AM4" s="136"/>
      <c r="AN4" s="136"/>
      <c r="AO4" s="136"/>
      <c r="AP4" s="136"/>
      <c r="AQ4" s="136"/>
      <c r="AR4" s="136"/>
      <c r="AS4" s="136"/>
      <c r="AT4" s="136"/>
      <c r="AU4" s="136" t="s">
        <v>454</v>
      </c>
      <c r="AV4" s="136"/>
      <c r="AW4" s="136"/>
      <c r="AX4" s="136"/>
      <c r="AY4" s="136"/>
      <c r="AZ4" s="136"/>
      <c r="BA4" s="136"/>
      <c r="BB4" s="136"/>
      <c r="BC4" s="136"/>
      <c r="BD4" s="136" t="s">
        <v>455</v>
      </c>
      <c r="BE4" s="136"/>
      <c r="BF4" s="136"/>
      <c r="BG4" s="136"/>
      <c r="BH4" s="136"/>
      <c r="BI4" s="136"/>
      <c r="BJ4" s="136"/>
      <c r="BK4" s="136"/>
      <c r="BL4" s="136"/>
      <c r="BM4" s="136" t="s">
        <v>456</v>
      </c>
      <c r="BN4" s="136"/>
      <c r="BO4" s="136"/>
      <c r="BP4" s="136"/>
      <c r="BQ4" s="136"/>
      <c r="BR4" s="136"/>
      <c r="BS4" s="136"/>
      <c r="BT4" s="136"/>
      <c r="BU4" s="136"/>
      <c r="BV4" s="136" t="s">
        <v>457</v>
      </c>
      <c r="BW4" s="136"/>
      <c r="BX4" s="136"/>
      <c r="BY4" s="136"/>
      <c r="BZ4" s="136"/>
      <c r="CA4" s="136"/>
      <c r="CB4" s="136"/>
      <c r="CC4" s="136"/>
      <c r="CD4" s="136"/>
      <c r="CE4" s="136" t="s">
        <v>458</v>
      </c>
      <c r="CF4" s="136"/>
      <c r="CG4" s="136"/>
      <c r="CH4" s="136"/>
      <c r="CI4" s="136"/>
      <c r="CJ4" s="136"/>
      <c r="CK4" s="136"/>
      <c r="CL4" s="136"/>
      <c r="CM4" s="136"/>
      <c r="CN4" s="136" t="s">
        <v>459</v>
      </c>
      <c r="CO4" s="136"/>
      <c r="CP4" s="136"/>
      <c r="CQ4" s="136"/>
      <c r="CR4" s="136"/>
      <c r="CS4" s="136"/>
      <c r="CT4" s="136"/>
      <c r="CU4" s="136"/>
      <c r="CV4" s="136"/>
      <c r="CW4" s="136" t="s">
        <v>460</v>
      </c>
      <c r="CX4" s="136"/>
      <c r="CY4" s="136"/>
      <c r="CZ4" s="136"/>
      <c r="DA4" s="136"/>
      <c r="DB4" s="136"/>
      <c r="DC4" s="136"/>
      <c r="DD4" s="136"/>
      <c r="DE4" s="136"/>
    </row>
    <row r="5" customFormat="false" ht="15" hidden="false" customHeight="true" outlineLevel="0" collapsed="false">
      <c r="A5" s="137" t="s">
        <v>461</v>
      </c>
      <c r="B5" s="138" t="n">
        <v>1</v>
      </c>
      <c r="C5" s="139" t="n">
        <v>2</v>
      </c>
      <c r="D5" s="139" t="n">
        <v>3</v>
      </c>
      <c r="E5" s="139" t="n">
        <v>4</v>
      </c>
      <c r="F5" s="139" t="n">
        <v>5</v>
      </c>
      <c r="G5" s="139" t="n">
        <v>6</v>
      </c>
      <c r="H5" s="139" t="n">
        <v>7</v>
      </c>
      <c r="I5" s="139" t="n">
        <v>8</v>
      </c>
      <c r="J5" s="138" t="n">
        <v>9</v>
      </c>
      <c r="K5" s="138" t="n">
        <v>10</v>
      </c>
      <c r="L5" s="139" t="n">
        <v>11</v>
      </c>
      <c r="M5" s="139" t="n">
        <v>12</v>
      </c>
      <c r="N5" s="139" t="n">
        <v>13</v>
      </c>
      <c r="O5" s="139" t="n">
        <v>14</v>
      </c>
      <c r="P5" s="139" t="n">
        <v>15</v>
      </c>
      <c r="Q5" s="139" t="n">
        <v>16</v>
      </c>
      <c r="R5" s="139" t="n">
        <v>17</v>
      </c>
      <c r="S5" s="138" t="n">
        <v>18</v>
      </c>
      <c r="T5" s="138" t="n">
        <v>19</v>
      </c>
      <c r="U5" s="139" t="n">
        <v>20</v>
      </c>
      <c r="V5" s="139" t="n">
        <v>21</v>
      </c>
      <c r="W5" s="139" t="n">
        <v>22</v>
      </c>
      <c r="X5" s="139" t="n">
        <v>23</v>
      </c>
      <c r="Y5" s="139" t="n">
        <v>24</v>
      </c>
      <c r="Z5" s="139" t="n">
        <v>25</v>
      </c>
      <c r="AA5" s="139" t="n">
        <v>26</v>
      </c>
      <c r="AB5" s="138" t="n">
        <v>27</v>
      </c>
      <c r="AC5" s="138" t="n">
        <v>28</v>
      </c>
      <c r="AD5" s="139" t="n">
        <v>29</v>
      </c>
      <c r="AE5" s="139" t="n">
        <v>30</v>
      </c>
      <c r="AF5" s="139" t="n">
        <v>31</v>
      </c>
      <c r="AG5" s="139" t="n">
        <v>32</v>
      </c>
      <c r="AH5" s="139" t="n">
        <v>33</v>
      </c>
      <c r="AI5" s="139" t="n">
        <v>34</v>
      </c>
      <c r="AJ5" s="139" t="n">
        <v>35</v>
      </c>
      <c r="AK5" s="138" t="n">
        <v>36</v>
      </c>
      <c r="AL5" s="138" t="n">
        <v>37</v>
      </c>
      <c r="AM5" s="139" t="n">
        <v>38</v>
      </c>
      <c r="AN5" s="139" t="n">
        <v>39</v>
      </c>
      <c r="AO5" s="139" t="n">
        <v>40</v>
      </c>
      <c r="AP5" s="139" t="n">
        <v>41</v>
      </c>
      <c r="AQ5" s="139" t="n">
        <v>42</v>
      </c>
      <c r="AR5" s="139" t="n">
        <v>43</v>
      </c>
      <c r="AS5" s="139" t="n">
        <v>44</v>
      </c>
      <c r="AT5" s="138" t="n">
        <v>45</v>
      </c>
      <c r="AU5" s="138" t="n">
        <v>46</v>
      </c>
      <c r="AV5" s="139" t="n">
        <v>47</v>
      </c>
      <c r="AW5" s="139" t="n">
        <v>48</v>
      </c>
      <c r="AX5" s="139" t="n">
        <v>49</v>
      </c>
      <c r="AY5" s="139" t="n">
        <v>50</v>
      </c>
      <c r="AZ5" s="139" t="n">
        <v>51</v>
      </c>
      <c r="BA5" s="139" t="n">
        <v>52</v>
      </c>
      <c r="BB5" s="139" t="n">
        <v>53</v>
      </c>
      <c r="BC5" s="138" t="n">
        <v>54</v>
      </c>
      <c r="BD5" s="138" t="n">
        <v>55</v>
      </c>
      <c r="BE5" s="139" t="n">
        <v>56</v>
      </c>
      <c r="BF5" s="139" t="n">
        <v>57</v>
      </c>
      <c r="BG5" s="139" t="n">
        <v>58</v>
      </c>
      <c r="BH5" s="139" t="n">
        <v>59</v>
      </c>
      <c r="BI5" s="139" t="n">
        <v>60</v>
      </c>
      <c r="BJ5" s="139" t="n">
        <v>61</v>
      </c>
      <c r="BK5" s="139" t="n">
        <v>62</v>
      </c>
      <c r="BL5" s="138" t="n">
        <v>63</v>
      </c>
      <c r="BM5" s="138" t="n">
        <v>64</v>
      </c>
      <c r="BN5" s="139" t="n">
        <v>65</v>
      </c>
      <c r="BO5" s="139" t="n">
        <v>66</v>
      </c>
      <c r="BP5" s="139" t="n">
        <v>67</v>
      </c>
      <c r="BQ5" s="139" t="n">
        <v>68</v>
      </c>
      <c r="BR5" s="139" t="n">
        <v>69</v>
      </c>
      <c r="BS5" s="139" t="n">
        <v>70</v>
      </c>
      <c r="BT5" s="139" t="n">
        <v>71</v>
      </c>
      <c r="BU5" s="138" t="n">
        <v>72</v>
      </c>
      <c r="BV5" s="138" t="n">
        <v>73</v>
      </c>
      <c r="BW5" s="139" t="n">
        <v>74</v>
      </c>
      <c r="BX5" s="139" t="n">
        <v>75</v>
      </c>
      <c r="BY5" s="139" t="n">
        <v>76</v>
      </c>
      <c r="BZ5" s="139" t="n">
        <v>77</v>
      </c>
      <c r="CA5" s="139" t="n">
        <v>78</v>
      </c>
      <c r="CB5" s="139" t="n">
        <v>79</v>
      </c>
      <c r="CC5" s="139" t="n">
        <v>80</v>
      </c>
      <c r="CD5" s="138" t="n">
        <v>81</v>
      </c>
      <c r="CE5" s="138" t="n">
        <v>82</v>
      </c>
      <c r="CF5" s="139" t="n">
        <v>83</v>
      </c>
      <c r="CG5" s="139" t="n">
        <v>84</v>
      </c>
      <c r="CH5" s="139" t="n">
        <v>85</v>
      </c>
      <c r="CI5" s="139" t="n">
        <v>86</v>
      </c>
      <c r="CJ5" s="139" t="n">
        <v>87</v>
      </c>
      <c r="CK5" s="139" t="n">
        <v>88</v>
      </c>
      <c r="CL5" s="139" t="n">
        <v>89</v>
      </c>
      <c r="CM5" s="138" t="n">
        <v>90</v>
      </c>
      <c r="CN5" s="138" t="n">
        <v>91</v>
      </c>
      <c r="CO5" s="139" t="n">
        <v>92</v>
      </c>
      <c r="CP5" s="139" t="n">
        <v>93</v>
      </c>
      <c r="CQ5" s="139" t="n">
        <v>94</v>
      </c>
      <c r="CR5" s="139" t="n">
        <v>95</v>
      </c>
      <c r="CS5" s="139" t="n">
        <v>96</v>
      </c>
      <c r="CT5" s="139" t="n">
        <v>97</v>
      </c>
      <c r="CU5" s="139" t="n">
        <v>98</v>
      </c>
      <c r="CV5" s="138" t="n">
        <v>99</v>
      </c>
      <c r="CW5" s="138" t="n">
        <v>100</v>
      </c>
      <c r="CX5" s="139" t="n">
        <v>101</v>
      </c>
      <c r="CY5" s="139" t="n">
        <v>102</v>
      </c>
      <c r="CZ5" s="139" t="n">
        <v>103</v>
      </c>
      <c r="DA5" s="139" t="n">
        <v>104</v>
      </c>
      <c r="DB5" s="139" t="n">
        <v>105</v>
      </c>
      <c r="DC5" s="139" t="n">
        <v>106</v>
      </c>
      <c r="DD5" s="139" t="n">
        <v>107</v>
      </c>
      <c r="DE5" s="138" t="n">
        <v>108</v>
      </c>
      <c r="DF5" s="140" t="s">
        <v>462</v>
      </c>
      <c r="DG5" s="140"/>
    </row>
    <row r="6" customFormat="false" ht="15" hidden="false" customHeight="true" outlineLevel="0" collapsed="false">
      <c r="A6" s="137" t="s">
        <v>463</v>
      </c>
      <c r="DF6" s="139" t="s">
        <v>464</v>
      </c>
      <c r="DG6" s="139" t="s">
        <v>465</v>
      </c>
    </row>
    <row r="7" customFormat="false" ht="15" hidden="false" customHeight="true" outlineLevel="0" collapsed="false">
      <c r="A7" s="141" t="str">
        <f aca="false">Crops!$B$5</f>
        <v>Rye</v>
      </c>
      <c r="B7" s="142" t="str">
        <f aca="false">IF(IF(GlobalGH,Climate!$G$5,Climate!$D$5)&lt;=0,"·",IF(IF(GlobalGH,Climate!$I$5,Climate!$F$5)&gt;Crops!$M$5,"H",IF(IF(GlobalGH,Climate!$H$5,Climate!$E$5)&lt;Crops!$K$5,"C","O")))</f>
        <v>·</v>
      </c>
      <c r="C7" s="142" t="str">
        <f aca="false">IF(IF(GlobalGH,Climate!$G$6,Climate!$D$6)&lt;=0,"·",IF(IF(GlobalGH,Climate!$I$6,Climate!$F$6)&gt;Crops!$M$5,"H",IF(IF(GlobalGH,Climate!$H$6,Climate!$E$6)&lt;Crops!$K$5,"C","O")))</f>
        <v>·</v>
      </c>
      <c r="D7" s="142" t="str">
        <f aca="false">IF(IF(GlobalGH,Climate!$G$7,Climate!$D$7)&lt;=0,"·",IF(IF(GlobalGH,Climate!$I$7,Climate!$F$7)&gt;Crops!$M$5,"H",IF(IF(GlobalGH,Climate!$H$7,Climate!$E$7)&lt;Crops!$K$5,"C","O")))</f>
        <v>·</v>
      </c>
      <c r="E7" s="142" t="str">
        <f aca="false">IF(IF(GlobalGH,Climate!$G$8,Climate!$D$8)&lt;=0,"·",IF(IF(GlobalGH,Climate!$I$8,Climate!$F$8)&gt;Crops!$M$5,"H",IF(IF(GlobalGH,Climate!$H$8,Climate!$E$8)&lt;Crops!$K$5,"C","O")))</f>
        <v>·</v>
      </c>
      <c r="F7" s="142" t="str">
        <f aca="false">IF(IF(GlobalGH,Climate!$G$9,Climate!$D$9)&lt;=0,"·",IF(IF(GlobalGH,Climate!$I$9,Climate!$F$9)&gt;Crops!$M$5,"H",IF(IF(GlobalGH,Climate!$H$9,Climate!$E$9)&lt;Crops!$K$5,"C","O")))</f>
        <v>·</v>
      </c>
      <c r="G7" s="142" t="str">
        <f aca="false">IF(IF(GlobalGH,Climate!$G$10,Climate!$D$10)&lt;=0,"·",IF(IF(GlobalGH,Climate!$I$10,Climate!$F$10)&gt;Crops!$M$5,"H",IF(IF(GlobalGH,Climate!$H$10,Climate!$E$10)&lt;Crops!$K$5,"C","O")))</f>
        <v>·</v>
      </c>
      <c r="H7" s="142" t="str">
        <f aca="false">IF(IF(GlobalGH,Climate!$G$11,Climate!$D$11)&lt;=0,"·",IF(IF(GlobalGH,Climate!$I$11,Climate!$F$11)&gt;Crops!$M$5,"H",IF(IF(GlobalGH,Climate!$H$11,Climate!$E$11)&lt;Crops!$K$5,"C","O")))</f>
        <v>·</v>
      </c>
      <c r="I7" s="142" t="str">
        <f aca="false">IF(IF(GlobalGH,Climate!$G$12,Climate!$D$12)&lt;=0,"·",IF(IF(GlobalGH,Climate!$I$12,Climate!$F$12)&gt;Crops!$M$5,"H",IF(IF(GlobalGH,Climate!$H$12,Climate!$E$12)&lt;Crops!$K$5,"C","O")))</f>
        <v>·</v>
      </c>
      <c r="J7" s="142" t="str">
        <f aca="false">IF(IF(GlobalGH,Climate!$G$13,Climate!$D$13)&lt;=0,"·",IF(IF(GlobalGH,Climate!$I$13,Climate!$F$13)&gt;Crops!$M$5,"H",IF(IF(GlobalGH,Climate!$H$13,Climate!$E$13)&lt;Crops!$K$5,"C","O")))</f>
        <v>·</v>
      </c>
      <c r="K7" s="142" t="str">
        <f aca="false">IF(IF(GlobalGH,Climate!$G$14,Climate!$D$14)&lt;=0,"·",IF(IF(GlobalGH,Climate!$I$14,Climate!$F$14)&gt;Crops!$M$5,"H",IF(IF(GlobalGH,Climate!$H$14,Climate!$E$14)&lt;Crops!$K$5,"C","O")))</f>
        <v>·</v>
      </c>
      <c r="L7" s="142" t="str">
        <f aca="false">IF(IF(GlobalGH,Climate!$G$15,Climate!$D$15)&lt;=0,"·",IF(IF(GlobalGH,Climate!$I$15,Climate!$F$15)&gt;Crops!$M$5,"H",IF(IF(GlobalGH,Climate!$H$15,Climate!$E$15)&lt;Crops!$K$5,"C","O")))</f>
        <v>·</v>
      </c>
      <c r="M7" s="142" t="str">
        <f aca="false">IF(IF(GlobalGH,Climate!$G$16,Climate!$D$16)&lt;=0,"·",IF(IF(GlobalGH,Climate!$I$16,Climate!$F$16)&gt;Crops!$M$5,"H",IF(IF(GlobalGH,Climate!$H$16,Climate!$E$16)&lt;Crops!$K$5,"C","O")))</f>
        <v>·</v>
      </c>
      <c r="N7" s="142" t="str">
        <f aca="false">IF(IF(GlobalGH,Climate!$G$17,Climate!$D$17)&lt;=0,"·",IF(IF(GlobalGH,Climate!$I$17,Climate!$F$17)&gt;Crops!$M$5,"H",IF(IF(GlobalGH,Climate!$H$17,Climate!$E$17)&lt;Crops!$K$5,"C","O")))</f>
        <v>·</v>
      </c>
      <c r="O7" s="142" t="str">
        <f aca="false">IF(IF(GlobalGH,Climate!$G$18,Climate!$D$18)&lt;=0,"·",IF(IF(GlobalGH,Climate!$I$18,Climate!$F$18)&gt;Crops!$M$5,"H",IF(IF(GlobalGH,Climate!$H$18,Climate!$E$18)&lt;Crops!$K$5,"C","O")))</f>
        <v>·</v>
      </c>
      <c r="P7" s="142" t="str">
        <f aca="false">IF(IF(GlobalGH,Climate!$G$19,Climate!$D$19)&lt;=0,"·",IF(IF(GlobalGH,Climate!$I$19,Climate!$F$19)&gt;Crops!$M$5,"H",IF(IF(GlobalGH,Climate!$H$19,Climate!$E$19)&lt;Crops!$K$5,"C","O")))</f>
        <v>·</v>
      </c>
      <c r="Q7" s="142" t="str">
        <f aca="false">IF(IF(GlobalGH,Climate!$G$20,Climate!$D$20)&lt;=0,"·",IF(IF(GlobalGH,Climate!$I$20,Climate!$F$20)&gt;Crops!$M$5,"H",IF(IF(GlobalGH,Climate!$H$20,Climate!$E$20)&lt;Crops!$K$5,"C","O")))</f>
        <v>·</v>
      </c>
      <c r="R7" s="142" t="str">
        <f aca="false">IF(IF(GlobalGH,Climate!$G$21,Climate!$D$21)&lt;=0,"·",IF(IF(GlobalGH,Climate!$I$21,Climate!$F$21)&gt;Crops!$M$5,"H",IF(IF(GlobalGH,Climate!$H$21,Climate!$E$21)&lt;Crops!$K$5,"C","O")))</f>
        <v>·</v>
      </c>
      <c r="S7" s="142" t="str">
        <f aca="false">IF(IF(GlobalGH,Climate!$G$22,Climate!$D$22)&lt;=0,"·",IF(IF(GlobalGH,Climate!$I$22,Climate!$F$22)&gt;Crops!$M$5,"H",IF(IF(GlobalGH,Climate!$H$22,Climate!$E$22)&lt;Crops!$K$5,"C","O")))</f>
        <v>·</v>
      </c>
      <c r="T7" s="142" t="str">
        <f aca="false">IF(IF(GlobalGH,Climate!$G$23,Climate!$D$23)&lt;=0,"·",IF(IF(GlobalGH,Climate!$I$23,Climate!$F$23)&gt;Crops!$M$5,"H",IF(IF(GlobalGH,Climate!$H$23,Climate!$E$23)&lt;Crops!$K$5,"C","O")))</f>
        <v>·</v>
      </c>
      <c r="U7" s="142" t="str">
        <f aca="false">IF(IF(GlobalGH,Climate!$G$24,Climate!$D$24)&lt;=0,"·",IF(IF(GlobalGH,Climate!$I$24,Climate!$F$24)&gt;Crops!$M$5,"H",IF(IF(GlobalGH,Climate!$H$24,Climate!$E$24)&lt;Crops!$K$5,"C","O")))</f>
        <v>·</v>
      </c>
      <c r="V7" s="142" t="str">
        <f aca="false">IF(IF(GlobalGH,Climate!$G$25,Climate!$D$25)&lt;=0,"·",IF(IF(GlobalGH,Climate!$I$25,Climate!$F$25)&gt;Crops!$M$5,"H",IF(IF(GlobalGH,Climate!$H$25,Climate!$E$25)&lt;Crops!$K$5,"C","O")))</f>
        <v>·</v>
      </c>
      <c r="W7" s="142" t="str">
        <f aca="false">IF(IF(GlobalGH,Climate!$G$26,Climate!$D$26)&lt;=0,"·",IF(IF(GlobalGH,Climate!$I$26,Climate!$F$26)&gt;Crops!$M$5,"H",IF(IF(GlobalGH,Climate!$H$26,Climate!$E$26)&lt;Crops!$K$5,"C","O")))</f>
        <v>·</v>
      </c>
      <c r="X7" s="142" t="str">
        <f aca="false">IF(IF(GlobalGH,Climate!$G$27,Climate!$D$27)&lt;=0,"·",IF(IF(GlobalGH,Climate!$I$27,Climate!$F$27)&gt;Crops!$M$5,"H",IF(IF(GlobalGH,Climate!$H$27,Climate!$E$27)&lt;Crops!$K$5,"C","O")))</f>
        <v>·</v>
      </c>
      <c r="Y7" s="142" t="str">
        <f aca="false">IF(IF(GlobalGH,Climate!$G$28,Climate!$D$28)&lt;=0,"·",IF(IF(GlobalGH,Climate!$I$28,Climate!$F$28)&gt;Crops!$M$5,"H",IF(IF(GlobalGH,Climate!$H$28,Climate!$E$28)&lt;Crops!$K$5,"C","O")))</f>
        <v>·</v>
      </c>
      <c r="Z7" s="142" t="str">
        <f aca="false">IF(IF(GlobalGH,Climate!$G$29,Climate!$D$29)&lt;=0,"·",IF(IF(GlobalGH,Climate!$I$29,Climate!$F$29)&gt;Crops!$M$5,"H",IF(IF(GlobalGH,Climate!$H$29,Climate!$E$29)&lt;Crops!$K$5,"C","O")))</f>
        <v>·</v>
      </c>
      <c r="AA7" s="142" t="str">
        <f aca="false">IF(IF(GlobalGH,Climate!$G$30,Climate!$D$30)&lt;=0,"·",IF(IF(GlobalGH,Climate!$I$30,Climate!$F$30)&gt;Crops!$M$5,"H",IF(IF(GlobalGH,Climate!$H$30,Climate!$E$30)&lt;Crops!$K$5,"C","O")))</f>
        <v>·</v>
      </c>
      <c r="AB7" s="142" t="str">
        <f aca="false">IF(IF(GlobalGH,Climate!$G$31,Climate!$D$31)&lt;=0,"·",IF(IF(GlobalGH,Climate!$I$31,Climate!$F$31)&gt;Crops!$M$5,"H",IF(IF(GlobalGH,Climate!$H$31,Climate!$E$31)&lt;Crops!$K$5,"C","O")))</f>
        <v>·</v>
      </c>
      <c r="AC7" s="142" t="str">
        <f aca="false">IF(IF(GlobalGH,Climate!$G$32,Climate!$D$32)&lt;=0,"·",IF(IF(GlobalGH,Climate!$I$32,Climate!$F$32)&gt;Crops!$M$5,"H",IF(IF(GlobalGH,Climate!$H$32,Climate!$E$32)&lt;Crops!$K$5,"C","O")))</f>
        <v>·</v>
      </c>
      <c r="AD7" s="142" t="str">
        <f aca="false">IF(IF(GlobalGH,Climate!$G$33,Climate!$D$33)&lt;=0,"·",IF(IF(GlobalGH,Climate!$I$33,Climate!$F$33)&gt;Crops!$M$5,"H",IF(IF(GlobalGH,Climate!$H$33,Climate!$E$33)&lt;Crops!$K$5,"C","O")))</f>
        <v>·</v>
      </c>
      <c r="AE7" s="142" t="str">
        <f aca="false">IF(IF(GlobalGH,Climate!$G$34,Climate!$D$34)&lt;=0,"·",IF(IF(GlobalGH,Climate!$I$34,Climate!$F$34)&gt;Crops!$M$5,"H",IF(IF(GlobalGH,Climate!$H$34,Climate!$E$34)&lt;Crops!$K$5,"C","O")))</f>
        <v>·</v>
      </c>
      <c r="AF7" s="142" t="str">
        <f aca="false">IF(IF(GlobalGH,Climate!$G$35,Climate!$D$35)&lt;=0,"·",IF(IF(GlobalGH,Climate!$I$35,Climate!$F$35)&gt;Crops!$M$5,"H",IF(IF(GlobalGH,Climate!$H$35,Climate!$E$35)&lt;Crops!$K$5,"C","O")))</f>
        <v>·</v>
      </c>
      <c r="AG7" s="142" t="str">
        <f aca="false">IF(IF(GlobalGH,Climate!$G$36,Climate!$D$36)&lt;=0,"·",IF(IF(GlobalGH,Climate!$I$36,Climate!$F$36)&gt;Crops!$M$5,"H",IF(IF(GlobalGH,Climate!$H$36,Climate!$E$36)&lt;Crops!$K$5,"C","O")))</f>
        <v>·</v>
      </c>
      <c r="AH7" s="142" t="str">
        <f aca="false">IF(IF(GlobalGH,Climate!$G$37,Climate!$D$37)&lt;=0,"·",IF(IF(GlobalGH,Climate!$I$37,Climate!$F$37)&gt;Crops!$M$5,"H",IF(IF(GlobalGH,Climate!$H$37,Climate!$E$37)&lt;Crops!$K$5,"C","O")))</f>
        <v>·</v>
      </c>
      <c r="AI7" s="142" t="str">
        <f aca="false">IF(IF(GlobalGH,Climate!$G$38,Climate!$D$38)&lt;=0,"·",IF(IF(GlobalGH,Climate!$I$38,Climate!$F$38)&gt;Crops!$M$5,"H",IF(IF(GlobalGH,Climate!$H$38,Climate!$E$38)&lt;Crops!$K$5,"C","O")))</f>
        <v>O</v>
      </c>
      <c r="AJ7" s="142" t="str">
        <f aca="false">IF(IF(GlobalGH,Climate!$G$39,Climate!$D$39)&lt;=0,"·",IF(IF(GlobalGH,Climate!$I$39,Climate!$F$39)&gt;Crops!$M$5,"H",IF(IF(GlobalGH,Climate!$H$39,Climate!$E$39)&lt;Crops!$K$5,"C","O")))</f>
        <v>O</v>
      </c>
      <c r="AK7" s="142" t="str">
        <f aca="false">IF(IF(GlobalGH,Climate!$G$40,Climate!$D$40)&lt;=0,"·",IF(IF(GlobalGH,Climate!$I$40,Climate!$F$40)&gt;Crops!$M$5,"H",IF(IF(GlobalGH,Climate!$H$40,Climate!$E$40)&lt;Crops!$K$5,"C","O")))</f>
        <v>O</v>
      </c>
      <c r="AL7" s="142" t="str">
        <f aca="false">IF(IF(GlobalGH,Climate!$G$41,Climate!$D$41)&lt;=0,"·",IF(IF(GlobalGH,Climate!$I$41,Climate!$F$41)&gt;Crops!$M$5,"H",IF(IF(GlobalGH,Climate!$H$41,Climate!$E$41)&lt;Crops!$K$5,"C","O")))</f>
        <v>O</v>
      </c>
      <c r="AM7" s="142" t="str">
        <f aca="false">IF(IF(GlobalGH,Climate!$G$42,Climate!$D$42)&lt;=0,"·",IF(IF(GlobalGH,Climate!$I$42,Climate!$F$42)&gt;Crops!$M$5,"H",IF(IF(GlobalGH,Climate!$H$42,Climate!$E$42)&lt;Crops!$K$5,"C","O")))</f>
        <v>O</v>
      </c>
      <c r="AN7" s="142" t="str">
        <f aca="false">IF(IF(GlobalGH,Climate!$G$43,Climate!$D$43)&lt;=0,"·",IF(IF(GlobalGH,Climate!$I$43,Climate!$F$43)&gt;Crops!$M$5,"H",IF(IF(GlobalGH,Climate!$H$43,Climate!$E$43)&lt;Crops!$K$5,"C","O")))</f>
        <v>O</v>
      </c>
      <c r="AO7" s="142" t="str">
        <f aca="false">IF(IF(GlobalGH,Climate!$G$44,Climate!$D$44)&lt;=0,"·",IF(IF(GlobalGH,Climate!$I$44,Climate!$F$44)&gt;Crops!$M$5,"H",IF(IF(GlobalGH,Climate!$H$44,Climate!$E$44)&lt;Crops!$K$5,"C","O")))</f>
        <v>O</v>
      </c>
      <c r="AP7" s="142" t="str">
        <f aca="false">IF(IF(GlobalGH,Climate!$G$45,Climate!$D$45)&lt;=0,"·",IF(IF(GlobalGH,Climate!$I$45,Climate!$F$45)&gt;Crops!$M$5,"H",IF(IF(GlobalGH,Climate!$H$45,Climate!$E$45)&lt;Crops!$K$5,"C","O")))</f>
        <v>O</v>
      </c>
      <c r="AQ7" s="142" t="str">
        <f aca="false">IF(IF(GlobalGH,Climate!$G$46,Climate!$D$46)&lt;=0,"·",IF(IF(GlobalGH,Climate!$I$46,Climate!$F$46)&gt;Crops!$M$5,"H",IF(IF(GlobalGH,Climate!$H$46,Climate!$E$46)&lt;Crops!$K$5,"C","O")))</f>
        <v>O</v>
      </c>
      <c r="AR7" s="142" t="str">
        <f aca="false">IF(IF(GlobalGH,Climate!$G$47,Climate!$D$47)&lt;=0,"·",IF(IF(GlobalGH,Climate!$I$47,Climate!$F$47)&gt;Crops!$M$5,"H",IF(IF(GlobalGH,Climate!$H$47,Climate!$E$47)&lt;Crops!$K$5,"C","O")))</f>
        <v>O</v>
      </c>
      <c r="AS7" s="142" t="str">
        <f aca="false">IF(IF(GlobalGH,Climate!$G$48,Climate!$D$48)&lt;=0,"·",IF(IF(GlobalGH,Climate!$I$48,Climate!$F$48)&gt;Crops!$M$5,"H",IF(IF(GlobalGH,Climate!$H$48,Climate!$E$48)&lt;Crops!$K$5,"C","O")))</f>
        <v>O</v>
      </c>
      <c r="AT7" s="142" t="str">
        <f aca="false">IF(IF(GlobalGH,Climate!$G$49,Climate!$D$49)&lt;=0,"·",IF(IF(GlobalGH,Climate!$I$49,Climate!$F$49)&gt;Crops!$M$5,"H",IF(IF(GlobalGH,Climate!$H$49,Climate!$E$49)&lt;Crops!$K$5,"C","O")))</f>
        <v>O</v>
      </c>
      <c r="AU7" s="142" t="str">
        <f aca="false">IF(IF(GlobalGH,Climate!$G$50,Climate!$D$50)&lt;=0,"·",IF(IF(GlobalGH,Climate!$I$50,Climate!$F$50)&gt;Crops!$M$5,"H",IF(IF(GlobalGH,Climate!$H$50,Climate!$E$50)&lt;Crops!$K$5,"C","O")))</f>
        <v>O</v>
      </c>
      <c r="AV7" s="142" t="str">
        <f aca="false">IF(IF(GlobalGH,Climate!$G$51,Climate!$D$51)&lt;=0,"·",IF(IF(GlobalGH,Climate!$I$51,Climate!$F$51)&gt;Crops!$M$5,"H",IF(IF(GlobalGH,Climate!$H$51,Climate!$E$51)&lt;Crops!$K$5,"C","O")))</f>
        <v>O</v>
      </c>
      <c r="AW7" s="142" t="str">
        <f aca="false">IF(IF(GlobalGH,Climate!$G$52,Climate!$D$52)&lt;=0,"·",IF(IF(GlobalGH,Climate!$I$52,Climate!$F$52)&gt;Crops!$M$5,"H",IF(IF(GlobalGH,Climate!$H$52,Climate!$E$52)&lt;Crops!$K$5,"C","O")))</f>
        <v>O</v>
      </c>
      <c r="AX7" s="142" t="str">
        <f aca="false">IF(IF(GlobalGH,Climate!$G$53,Climate!$D$53)&lt;=0,"·",IF(IF(GlobalGH,Climate!$I$53,Climate!$F$53)&gt;Crops!$M$5,"H",IF(IF(GlobalGH,Climate!$H$53,Climate!$E$53)&lt;Crops!$K$5,"C","O")))</f>
        <v>O</v>
      </c>
      <c r="AY7" s="142" t="str">
        <f aca="false">IF(IF(GlobalGH,Climate!$G$54,Climate!$D$54)&lt;=0,"·",IF(IF(GlobalGH,Climate!$I$54,Climate!$F$54)&gt;Crops!$M$5,"H",IF(IF(GlobalGH,Climate!$H$54,Climate!$E$54)&lt;Crops!$K$5,"C","O")))</f>
        <v>O</v>
      </c>
      <c r="AZ7" s="142" t="str">
        <f aca="false">IF(IF(GlobalGH,Climate!$G$55,Climate!$D$55)&lt;=0,"·",IF(IF(GlobalGH,Climate!$I$55,Climate!$F$55)&gt;Crops!$M$5,"H",IF(IF(GlobalGH,Climate!$H$55,Climate!$E$55)&lt;Crops!$K$5,"C","O")))</f>
        <v>O</v>
      </c>
      <c r="BA7" s="142" t="str">
        <f aca="false">IF(IF(GlobalGH,Climate!$G$56,Climate!$D$56)&lt;=0,"·",IF(IF(GlobalGH,Climate!$I$56,Climate!$F$56)&gt;Crops!$M$5,"H",IF(IF(GlobalGH,Climate!$H$56,Climate!$E$56)&lt;Crops!$K$5,"C","O")))</f>
        <v>O</v>
      </c>
      <c r="BB7" s="142" t="str">
        <f aca="false">IF(IF(GlobalGH,Climate!$G$57,Climate!$D$57)&lt;=0,"·",IF(IF(GlobalGH,Climate!$I$57,Climate!$F$57)&gt;Crops!$M$5,"H",IF(IF(GlobalGH,Climate!$H$57,Climate!$E$57)&lt;Crops!$K$5,"C","O")))</f>
        <v>O</v>
      </c>
      <c r="BC7" s="142" t="str">
        <f aca="false">IF(IF(GlobalGH,Climate!$G$58,Climate!$D$58)&lt;=0,"·",IF(IF(GlobalGH,Climate!$I$58,Climate!$F$58)&gt;Crops!$M$5,"H",IF(IF(GlobalGH,Climate!$H$58,Climate!$E$58)&lt;Crops!$K$5,"C","O")))</f>
        <v>O</v>
      </c>
      <c r="BD7" s="142" t="str">
        <f aca="false">IF(IF(GlobalGH,Climate!$G$59,Climate!$D$59)&lt;=0,"·",IF(IF(GlobalGH,Climate!$I$59,Climate!$F$59)&gt;Crops!$M$5,"H",IF(IF(GlobalGH,Climate!$H$59,Climate!$E$59)&lt;Crops!$K$5,"C","O")))</f>
        <v>O</v>
      </c>
      <c r="BE7" s="142" t="str">
        <f aca="false">IF(IF(GlobalGH,Climate!$G$60,Climate!$D$60)&lt;=0,"·",IF(IF(GlobalGH,Climate!$I$60,Climate!$F$60)&gt;Crops!$M$5,"H",IF(IF(GlobalGH,Climate!$H$60,Climate!$E$60)&lt;Crops!$K$5,"C","O")))</f>
        <v>O</v>
      </c>
      <c r="BF7" s="142" t="str">
        <f aca="false">IF(IF(GlobalGH,Climate!$G$61,Climate!$D$61)&lt;=0,"·",IF(IF(GlobalGH,Climate!$I$61,Climate!$F$61)&gt;Crops!$M$5,"H",IF(IF(GlobalGH,Climate!$H$61,Climate!$E$61)&lt;Crops!$K$5,"C","O")))</f>
        <v>O</v>
      </c>
      <c r="BG7" s="142" t="str">
        <f aca="false">IF(IF(GlobalGH,Climate!$G$62,Climate!$D$62)&lt;=0,"·",IF(IF(GlobalGH,Climate!$I$62,Climate!$F$62)&gt;Crops!$M$5,"H",IF(IF(GlobalGH,Climate!$H$62,Climate!$E$62)&lt;Crops!$K$5,"C","O")))</f>
        <v>O</v>
      </c>
      <c r="BH7" s="142" t="str">
        <f aca="false">IF(IF(GlobalGH,Climate!$G$63,Climate!$D$63)&lt;=0,"·",IF(IF(GlobalGH,Climate!$I$63,Climate!$F$63)&gt;Crops!$M$5,"H",IF(IF(GlobalGH,Climate!$H$63,Climate!$E$63)&lt;Crops!$K$5,"C","O")))</f>
        <v>O</v>
      </c>
      <c r="BI7" s="142" t="str">
        <f aca="false">IF(IF(GlobalGH,Climate!$G$64,Climate!$D$64)&lt;=0,"·",IF(IF(GlobalGH,Climate!$I$64,Climate!$F$64)&gt;Crops!$M$5,"H",IF(IF(GlobalGH,Climate!$H$64,Climate!$E$64)&lt;Crops!$K$5,"C","O")))</f>
        <v>O</v>
      </c>
      <c r="BJ7" s="142" t="str">
        <f aca="false">IF(IF(GlobalGH,Climate!$G$65,Climate!$D$65)&lt;=0,"·",IF(IF(GlobalGH,Climate!$I$65,Climate!$F$65)&gt;Crops!$M$5,"H",IF(IF(GlobalGH,Climate!$H$65,Climate!$E$65)&lt;Crops!$K$5,"C","O")))</f>
        <v>O</v>
      </c>
      <c r="BK7" s="142" t="str">
        <f aca="false">IF(IF(GlobalGH,Climate!$G$66,Climate!$D$66)&lt;=0,"·",IF(IF(GlobalGH,Climate!$I$66,Climate!$F$66)&gt;Crops!$M$5,"H",IF(IF(GlobalGH,Climate!$H$66,Climate!$E$66)&lt;Crops!$K$5,"C","O")))</f>
        <v>O</v>
      </c>
      <c r="BL7" s="142" t="str">
        <f aca="false">IF(IF(GlobalGH,Climate!$G$67,Climate!$D$67)&lt;=0,"·",IF(IF(GlobalGH,Climate!$I$67,Climate!$F$67)&gt;Crops!$M$5,"H",IF(IF(GlobalGH,Climate!$H$67,Climate!$E$67)&lt;Crops!$K$5,"C","O")))</f>
        <v>O</v>
      </c>
      <c r="BM7" s="142" t="str">
        <f aca="false">IF(IF(GlobalGH,Climate!$G$68,Climate!$D$68)&lt;=0,"·",IF(IF(GlobalGH,Climate!$I$68,Climate!$F$68)&gt;Crops!$M$5,"H",IF(IF(GlobalGH,Climate!$H$68,Climate!$E$68)&lt;Crops!$K$5,"C","O")))</f>
        <v>O</v>
      </c>
      <c r="BN7" s="142" t="str">
        <f aca="false">IF(IF(GlobalGH,Climate!$G$69,Climate!$D$69)&lt;=0,"·",IF(IF(GlobalGH,Climate!$I$69,Climate!$F$69)&gt;Crops!$M$5,"H",IF(IF(GlobalGH,Climate!$H$69,Climate!$E$69)&lt;Crops!$K$5,"C","O")))</f>
        <v>O</v>
      </c>
      <c r="BO7" s="142" t="str">
        <f aca="false">IF(IF(GlobalGH,Climate!$G$70,Climate!$D$70)&lt;=0,"·",IF(IF(GlobalGH,Climate!$I$70,Climate!$F$70)&gt;Crops!$M$5,"H",IF(IF(GlobalGH,Climate!$H$70,Climate!$E$70)&lt;Crops!$K$5,"C","O")))</f>
        <v>O</v>
      </c>
      <c r="BP7" s="142" t="str">
        <f aca="false">IF(IF(GlobalGH,Climate!$G$71,Climate!$D$71)&lt;=0,"·",IF(IF(GlobalGH,Climate!$I$71,Climate!$F$71)&gt;Crops!$M$5,"H",IF(IF(GlobalGH,Climate!$H$71,Climate!$E$71)&lt;Crops!$K$5,"C","O")))</f>
        <v>O</v>
      </c>
      <c r="BQ7" s="142" t="str">
        <f aca="false">IF(IF(GlobalGH,Climate!$G$72,Climate!$D$72)&lt;=0,"·",IF(IF(GlobalGH,Climate!$I$72,Climate!$F$72)&gt;Crops!$M$5,"H",IF(IF(GlobalGH,Climate!$H$72,Climate!$E$72)&lt;Crops!$K$5,"C","O")))</f>
        <v>O</v>
      </c>
      <c r="BR7" s="142" t="str">
        <f aca="false">IF(IF(GlobalGH,Climate!$G$73,Climate!$D$73)&lt;=0,"·",IF(IF(GlobalGH,Climate!$I$73,Climate!$F$73)&gt;Crops!$M$5,"H",IF(IF(GlobalGH,Climate!$H$73,Climate!$E$73)&lt;Crops!$K$5,"C","O")))</f>
        <v>O</v>
      </c>
      <c r="BS7" s="142" t="str">
        <f aca="false">IF(IF(GlobalGH,Climate!$G$74,Climate!$D$74)&lt;=0,"·",IF(IF(GlobalGH,Climate!$I$74,Climate!$F$74)&gt;Crops!$M$5,"H",IF(IF(GlobalGH,Climate!$H$74,Climate!$E$74)&lt;Crops!$K$5,"C","O")))</f>
        <v>O</v>
      </c>
      <c r="BT7" s="142" t="str">
        <f aca="false">IF(IF(GlobalGH,Climate!$G$75,Climate!$D$75)&lt;=0,"·",IF(IF(GlobalGH,Climate!$I$75,Climate!$F$75)&gt;Crops!$M$5,"H",IF(IF(GlobalGH,Climate!$H$75,Climate!$E$75)&lt;Crops!$K$5,"C","O")))</f>
        <v>O</v>
      </c>
      <c r="BU7" s="142" t="str">
        <f aca="false">IF(IF(GlobalGH,Climate!$G$76,Climate!$D$76)&lt;=0,"·",IF(IF(GlobalGH,Climate!$I$76,Climate!$F$76)&gt;Crops!$M$5,"H",IF(IF(GlobalGH,Climate!$H$76,Climate!$E$76)&lt;Crops!$K$5,"C","O")))</f>
        <v>O</v>
      </c>
      <c r="BV7" s="142" t="str">
        <f aca="false">IF(IF(GlobalGH,Climate!$G$77,Climate!$D$77)&lt;=0,"·",IF(IF(GlobalGH,Climate!$I$77,Climate!$F$77)&gt;Crops!$M$5,"H",IF(IF(GlobalGH,Climate!$H$77,Climate!$E$77)&lt;Crops!$K$5,"C","O")))</f>
        <v>O</v>
      </c>
      <c r="BW7" s="142" t="str">
        <f aca="false">IF(IF(GlobalGH,Climate!$G$78,Climate!$D$78)&lt;=0,"·",IF(IF(GlobalGH,Climate!$I$78,Climate!$F$78)&gt;Crops!$M$5,"H",IF(IF(GlobalGH,Climate!$H$78,Climate!$E$78)&lt;Crops!$K$5,"C","O")))</f>
        <v>O</v>
      </c>
      <c r="BX7" s="142" t="str">
        <f aca="false">IF(IF(GlobalGH,Climate!$G$79,Climate!$D$79)&lt;=0,"·",IF(IF(GlobalGH,Climate!$I$79,Climate!$F$79)&gt;Crops!$M$5,"H",IF(IF(GlobalGH,Climate!$H$79,Climate!$E$79)&lt;Crops!$K$5,"C","O")))</f>
        <v>O</v>
      </c>
      <c r="BY7" s="142" t="str">
        <f aca="false">IF(IF(GlobalGH,Climate!$G$80,Climate!$D$80)&lt;=0,"·",IF(IF(GlobalGH,Climate!$I$80,Climate!$F$80)&gt;Crops!$M$5,"H",IF(IF(GlobalGH,Climate!$H$80,Climate!$E$80)&lt;Crops!$K$5,"C","O")))</f>
        <v>O</v>
      </c>
      <c r="BZ7" s="142" t="str">
        <f aca="false">IF(IF(GlobalGH,Climate!$G$81,Climate!$D$81)&lt;=0,"·",IF(IF(GlobalGH,Climate!$I$81,Climate!$F$81)&gt;Crops!$M$5,"H",IF(IF(GlobalGH,Climate!$H$81,Climate!$E$81)&lt;Crops!$K$5,"C","O")))</f>
        <v>O</v>
      </c>
      <c r="CA7" s="142" t="str">
        <f aca="false">IF(IF(GlobalGH,Climate!$G$82,Climate!$D$82)&lt;=0,"·",IF(IF(GlobalGH,Climate!$I$82,Climate!$F$82)&gt;Crops!$M$5,"H",IF(IF(GlobalGH,Climate!$H$82,Climate!$E$82)&lt;Crops!$K$5,"C","O")))</f>
        <v>O</v>
      </c>
      <c r="CB7" s="142" t="str">
        <f aca="false">IF(IF(GlobalGH,Climate!$G$83,Climate!$D$83)&lt;=0,"·",IF(IF(GlobalGH,Climate!$I$83,Climate!$F$83)&gt;Crops!$M$5,"H",IF(IF(GlobalGH,Climate!$H$83,Climate!$E$83)&lt;Crops!$K$5,"C","O")))</f>
        <v>O</v>
      </c>
      <c r="CC7" s="142" t="str">
        <f aca="false">IF(IF(GlobalGH,Climate!$G$84,Climate!$D$84)&lt;=0,"·",IF(IF(GlobalGH,Climate!$I$84,Climate!$F$84)&gt;Crops!$M$5,"H",IF(IF(GlobalGH,Climate!$H$84,Climate!$E$84)&lt;Crops!$K$5,"C","O")))</f>
        <v>O</v>
      </c>
      <c r="CD7" s="142" t="str">
        <f aca="false">IF(IF(GlobalGH,Climate!$G$85,Climate!$D$85)&lt;=0,"·",IF(IF(GlobalGH,Climate!$I$85,Climate!$F$85)&gt;Crops!$M$5,"H",IF(IF(GlobalGH,Climate!$H$85,Climate!$E$85)&lt;Crops!$K$5,"C","O")))</f>
        <v>O</v>
      </c>
      <c r="CE7" s="142" t="str">
        <f aca="false">IF(IF(GlobalGH,Climate!$G$86,Climate!$D$86)&lt;=0,"·",IF(IF(GlobalGH,Climate!$I$86,Climate!$F$86)&gt;Crops!$M$5,"H",IF(IF(GlobalGH,Climate!$H$86,Climate!$E$86)&lt;Crops!$K$5,"C","O")))</f>
        <v>O</v>
      </c>
      <c r="CF7" s="142" t="str">
        <f aca="false">IF(IF(GlobalGH,Climate!$G$87,Climate!$D$87)&lt;=0,"·",IF(IF(GlobalGH,Climate!$I$87,Climate!$F$87)&gt;Crops!$M$5,"H",IF(IF(GlobalGH,Climate!$H$87,Climate!$E$87)&lt;Crops!$K$5,"C","O")))</f>
        <v>O</v>
      </c>
      <c r="CG7" s="142" t="str">
        <f aca="false">IF(IF(GlobalGH,Climate!$G$88,Climate!$D$88)&lt;=0,"·",IF(IF(GlobalGH,Climate!$I$88,Climate!$F$88)&gt;Crops!$M$5,"H",IF(IF(GlobalGH,Climate!$H$88,Climate!$E$88)&lt;Crops!$K$5,"C","O")))</f>
        <v>·</v>
      </c>
      <c r="CH7" s="142" t="str">
        <f aca="false">IF(IF(GlobalGH,Climate!$G$89,Climate!$D$89)&lt;=0,"·",IF(IF(GlobalGH,Climate!$I$89,Climate!$F$89)&gt;Crops!$M$5,"H",IF(IF(GlobalGH,Climate!$H$89,Climate!$E$89)&lt;Crops!$K$5,"C","O")))</f>
        <v>·</v>
      </c>
      <c r="CI7" s="142" t="str">
        <f aca="false">IF(IF(GlobalGH,Climate!$G$90,Climate!$D$90)&lt;=0,"·",IF(IF(GlobalGH,Climate!$I$90,Climate!$F$90)&gt;Crops!$M$5,"H",IF(IF(GlobalGH,Climate!$H$90,Climate!$E$90)&lt;Crops!$K$5,"C","O")))</f>
        <v>·</v>
      </c>
      <c r="CJ7" s="142" t="str">
        <f aca="false">IF(IF(GlobalGH,Climate!$G$91,Climate!$D$91)&lt;=0,"·",IF(IF(GlobalGH,Climate!$I$91,Climate!$F$91)&gt;Crops!$M$5,"H",IF(IF(GlobalGH,Climate!$H$91,Climate!$E$91)&lt;Crops!$K$5,"C","O")))</f>
        <v>·</v>
      </c>
      <c r="CK7" s="142" t="str">
        <f aca="false">IF(IF(GlobalGH,Climate!$G$92,Climate!$D$92)&lt;=0,"·",IF(IF(GlobalGH,Climate!$I$92,Climate!$F$92)&gt;Crops!$M$5,"H",IF(IF(GlobalGH,Climate!$H$92,Climate!$E$92)&lt;Crops!$K$5,"C","O")))</f>
        <v>·</v>
      </c>
      <c r="CL7" s="142" t="str">
        <f aca="false">IF(IF(GlobalGH,Climate!$G$93,Climate!$D$93)&lt;=0,"·",IF(IF(GlobalGH,Climate!$I$93,Climate!$F$93)&gt;Crops!$M$5,"H",IF(IF(GlobalGH,Climate!$H$93,Climate!$E$93)&lt;Crops!$K$5,"C","O")))</f>
        <v>·</v>
      </c>
      <c r="CM7" s="142" t="str">
        <f aca="false">IF(IF(GlobalGH,Climate!$G$94,Climate!$D$94)&lt;=0,"·",IF(IF(GlobalGH,Climate!$I$94,Climate!$F$94)&gt;Crops!$M$5,"H",IF(IF(GlobalGH,Climate!$H$94,Climate!$E$94)&lt;Crops!$K$5,"C","O")))</f>
        <v>·</v>
      </c>
      <c r="CN7" s="142" t="str">
        <f aca="false">IF(IF(GlobalGH,Climate!$G$95,Climate!$D$95)&lt;=0,"·",IF(IF(GlobalGH,Climate!$I$95,Climate!$F$95)&gt;Crops!$M$5,"H",IF(IF(GlobalGH,Climate!$H$95,Climate!$E$95)&lt;Crops!$K$5,"C","O")))</f>
        <v>·</v>
      </c>
      <c r="CO7" s="142" t="str">
        <f aca="false">IF(IF(GlobalGH,Climate!$G$96,Climate!$D$96)&lt;=0,"·",IF(IF(GlobalGH,Climate!$I$96,Climate!$F$96)&gt;Crops!$M$5,"H",IF(IF(GlobalGH,Climate!$H$96,Climate!$E$96)&lt;Crops!$K$5,"C","O")))</f>
        <v>·</v>
      </c>
      <c r="CP7" s="142" t="str">
        <f aca="false">IF(IF(GlobalGH,Climate!$G$97,Climate!$D$97)&lt;=0,"·",IF(IF(GlobalGH,Climate!$I$97,Climate!$F$97)&gt;Crops!$M$5,"H",IF(IF(GlobalGH,Climate!$H$97,Climate!$E$97)&lt;Crops!$K$5,"C","O")))</f>
        <v>·</v>
      </c>
      <c r="CQ7" s="142" t="str">
        <f aca="false">IF(IF(GlobalGH,Climate!$G$98,Climate!$D$98)&lt;=0,"·",IF(IF(GlobalGH,Climate!$I$98,Climate!$F$98)&gt;Crops!$M$5,"H",IF(IF(GlobalGH,Climate!$H$98,Climate!$E$98)&lt;Crops!$K$5,"C","O")))</f>
        <v>·</v>
      </c>
      <c r="CR7" s="142" t="str">
        <f aca="false">IF(IF(GlobalGH,Climate!$G$99,Climate!$D$99)&lt;=0,"·",IF(IF(GlobalGH,Climate!$I$99,Climate!$F$99)&gt;Crops!$M$5,"H",IF(IF(GlobalGH,Climate!$H$99,Climate!$E$99)&lt;Crops!$K$5,"C","O")))</f>
        <v>·</v>
      </c>
      <c r="CS7" s="142" t="str">
        <f aca="false">IF(IF(GlobalGH,Climate!$G$100,Climate!$D$100)&lt;=0,"·",IF(IF(GlobalGH,Climate!$I$100,Climate!$F$100)&gt;Crops!$M$5,"H",IF(IF(GlobalGH,Climate!$H$100,Climate!$E$100)&lt;Crops!$K$5,"C","O")))</f>
        <v>·</v>
      </c>
      <c r="CT7" s="142" t="str">
        <f aca="false">IF(IF(GlobalGH,Climate!$G$101,Climate!$D$101)&lt;=0,"·",IF(IF(GlobalGH,Climate!$I$101,Climate!$F$101)&gt;Crops!$M$5,"H",IF(IF(GlobalGH,Climate!$H$101,Climate!$E$101)&lt;Crops!$K$5,"C","O")))</f>
        <v>·</v>
      </c>
      <c r="CU7" s="142" t="str">
        <f aca="false">IF(IF(GlobalGH,Climate!$G$102,Climate!$D$102)&lt;=0,"·",IF(IF(GlobalGH,Climate!$I$102,Climate!$F$102)&gt;Crops!$M$5,"H",IF(IF(GlobalGH,Climate!$H$102,Climate!$E$102)&lt;Crops!$K$5,"C","O")))</f>
        <v>·</v>
      </c>
      <c r="CV7" s="142" t="str">
        <f aca="false">IF(IF(GlobalGH,Climate!$G$103,Climate!$D$103)&lt;=0,"·",IF(IF(GlobalGH,Climate!$I$103,Climate!$F$103)&gt;Crops!$M$5,"H",IF(IF(GlobalGH,Climate!$H$103,Climate!$E$103)&lt;Crops!$K$5,"C","O")))</f>
        <v>·</v>
      </c>
      <c r="CW7" s="142" t="str">
        <f aca="false">IF(IF(GlobalGH,Climate!$G$104,Climate!$D$104)&lt;=0,"·",IF(IF(GlobalGH,Climate!$I$104,Climate!$F$104)&gt;Crops!$M$5,"H",IF(IF(GlobalGH,Climate!$H$104,Climate!$E$104)&lt;Crops!$K$5,"C","O")))</f>
        <v>·</v>
      </c>
      <c r="CX7" s="142" t="str">
        <f aca="false">IF(IF(GlobalGH,Climate!$G$105,Climate!$D$105)&lt;=0,"·",IF(IF(GlobalGH,Climate!$I$105,Climate!$F$105)&gt;Crops!$M$5,"H",IF(IF(GlobalGH,Climate!$H$105,Climate!$E$105)&lt;Crops!$K$5,"C","O")))</f>
        <v>·</v>
      </c>
      <c r="CY7" s="142" t="str">
        <f aca="false">IF(IF(GlobalGH,Climate!$G$106,Climate!$D$106)&lt;=0,"·",IF(IF(GlobalGH,Climate!$I$106,Climate!$F$106)&gt;Crops!$M$5,"H",IF(IF(GlobalGH,Climate!$H$106,Climate!$E$106)&lt;Crops!$K$5,"C","O")))</f>
        <v>·</v>
      </c>
      <c r="CZ7" s="142" t="str">
        <f aca="false">IF(IF(GlobalGH,Climate!$G$107,Climate!$D$107)&lt;=0,"·",IF(IF(GlobalGH,Climate!$I$107,Climate!$F$107)&gt;Crops!$M$5,"H",IF(IF(GlobalGH,Climate!$H$107,Climate!$E$107)&lt;Crops!$K$5,"C","O")))</f>
        <v>·</v>
      </c>
      <c r="DA7" s="142" t="str">
        <f aca="false">IF(IF(GlobalGH,Climate!$G$108,Climate!$D$108)&lt;=0,"·",IF(IF(GlobalGH,Climate!$I$108,Climate!$F$108)&gt;Crops!$M$5,"H",IF(IF(GlobalGH,Climate!$H$108,Climate!$E$108)&lt;Crops!$K$5,"C","O")))</f>
        <v>·</v>
      </c>
      <c r="DB7" s="142" t="str">
        <f aca="false">IF(IF(GlobalGH,Climate!$G$109,Climate!$D$109)&lt;=0,"·",IF(IF(GlobalGH,Climate!$I$109,Climate!$F$109)&gt;Crops!$M$5,"H",IF(IF(GlobalGH,Climate!$H$109,Climate!$E$109)&lt;Crops!$K$5,"C","O")))</f>
        <v>·</v>
      </c>
      <c r="DC7" s="142" t="str">
        <f aca="false">IF(IF(GlobalGH,Climate!$G$110,Climate!$D$110)&lt;=0,"·",IF(IF(GlobalGH,Climate!$I$110,Climate!$F$110)&gt;Crops!$M$5,"H",IF(IF(GlobalGH,Climate!$H$110,Climate!$E$110)&lt;Crops!$K$5,"C","O")))</f>
        <v>·</v>
      </c>
      <c r="DD7" s="142" t="str">
        <f aca="false">IF(IF(GlobalGH,Climate!$G$111,Climate!$D$111)&lt;=0,"·",IF(IF(GlobalGH,Climate!$I$111,Climate!$F$111)&gt;Crops!$M$5,"H",IF(IF(GlobalGH,Climate!$H$111,Climate!$E$111)&lt;Crops!$K$5,"C","O")))</f>
        <v>·</v>
      </c>
      <c r="DE7" s="142" t="str">
        <f aca="false">IF(IF(GlobalGH,Climate!$G$112,Climate!$D$112)&lt;=0,"·",IF(IF(GlobalGH,Climate!$I$112,Climate!$F$112)&gt;Crops!$M$5,"H",IF(IF(GlobalGH,Climate!$H$112,Climate!$E$112)&lt;Crops!$K$5,"C","O")))</f>
        <v>·</v>
      </c>
      <c r="DF7" s="143" t="n">
        <f aca="false">COUNTIF(B7:DE7,"O")</f>
        <v>50</v>
      </c>
      <c r="DG7" s="139" t="s">
        <v>421</v>
      </c>
    </row>
    <row r="8" customFormat="false" ht="15" hidden="false" customHeight="true" outlineLevel="0" collapsed="false">
      <c r="A8" s="144" t="str">
        <f aca="false">Crops!$B$6</f>
        <v>Carrot</v>
      </c>
      <c r="B8" s="142" t="str">
        <f aca="false">IF(IF(GlobalGH,Climate!$G$5,Climate!$D$5)&lt;=0,"·",IF(IF(GlobalGH,Climate!$I$5,Climate!$F$5)&gt;Crops!$M$6,"H",IF(IF(GlobalGH,Climate!$H$5,Climate!$E$5)&lt;Crops!$K$6,"C","O")))</f>
        <v>·</v>
      </c>
      <c r="C8" s="142" t="str">
        <f aca="false">IF(IF(GlobalGH,Climate!$G$6,Climate!$D$6)&lt;=0,"·",IF(IF(GlobalGH,Climate!$I$6,Climate!$F$6)&gt;Crops!$M$6,"H",IF(IF(GlobalGH,Climate!$H$6,Climate!$E$6)&lt;Crops!$K$6,"C","O")))</f>
        <v>·</v>
      </c>
      <c r="D8" s="142" t="str">
        <f aca="false">IF(IF(GlobalGH,Climate!$G$7,Climate!$D$7)&lt;=0,"·",IF(IF(GlobalGH,Climate!$I$7,Climate!$F$7)&gt;Crops!$M$6,"H",IF(IF(GlobalGH,Climate!$H$7,Climate!$E$7)&lt;Crops!$K$6,"C","O")))</f>
        <v>·</v>
      </c>
      <c r="E8" s="142" t="str">
        <f aca="false">IF(IF(GlobalGH,Climate!$G$8,Climate!$D$8)&lt;=0,"·",IF(IF(GlobalGH,Climate!$I$8,Climate!$F$8)&gt;Crops!$M$6,"H",IF(IF(GlobalGH,Climate!$H$8,Climate!$E$8)&lt;Crops!$K$6,"C","O")))</f>
        <v>·</v>
      </c>
      <c r="F8" s="142" t="str">
        <f aca="false">IF(IF(GlobalGH,Climate!$G$9,Climate!$D$9)&lt;=0,"·",IF(IF(GlobalGH,Climate!$I$9,Climate!$F$9)&gt;Crops!$M$6,"H",IF(IF(GlobalGH,Climate!$H$9,Climate!$E$9)&lt;Crops!$K$6,"C","O")))</f>
        <v>·</v>
      </c>
      <c r="G8" s="142" t="str">
        <f aca="false">IF(IF(GlobalGH,Climate!$G$10,Climate!$D$10)&lt;=0,"·",IF(IF(GlobalGH,Climate!$I$10,Climate!$F$10)&gt;Crops!$M$6,"H",IF(IF(GlobalGH,Climate!$H$10,Climate!$E$10)&lt;Crops!$K$6,"C","O")))</f>
        <v>·</v>
      </c>
      <c r="H8" s="142" t="str">
        <f aca="false">IF(IF(GlobalGH,Climate!$G$11,Climate!$D$11)&lt;=0,"·",IF(IF(GlobalGH,Climate!$I$11,Climate!$F$11)&gt;Crops!$M$6,"H",IF(IF(GlobalGH,Climate!$H$11,Climate!$E$11)&lt;Crops!$K$6,"C","O")))</f>
        <v>·</v>
      </c>
      <c r="I8" s="142" t="str">
        <f aca="false">IF(IF(GlobalGH,Climate!$G$12,Climate!$D$12)&lt;=0,"·",IF(IF(GlobalGH,Climate!$I$12,Climate!$F$12)&gt;Crops!$M$6,"H",IF(IF(GlobalGH,Climate!$H$12,Climate!$E$12)&lt;Crops!$K$6,"C","O")))</f>
        <v>·</v>
      </c>
      <c r="J8" s="142" t="str">
        <f aca="false">IF(IF(GlobalGH,Climate!$G$13,Climate!$D$13)&lt;=0,"·",IF(IF(GlobalGH,Climate!$I$13,Climate!$F$13)&gt;Crops!$M$6,"H",IF(IF(GlobalGH,Climate!$H$13,Climate!$E$13)&lt;Crops!$K$6,"C","O")))</f>
        <v>·</v>
      </c>
      <c r="K8" s="142" t="str">
        <f aca="false">IF(IF(GlobalGH,Climate!$G$14,Climate!$D$14)&lt;=0,"·",IF(IF(GlobalGH,Climate!$I$14,Climate!$F$14)&gt;Crops!$M$6,"H",IF(IF(GlobalGH,Climate!$H$14,Climate!$E$14)&lt;Crops!$K$6,"C","O")))</f>
        <v>·</v>
      </c>
      <c r="L8" s="142" t="str">
        <f aca="false">IF(IF(GlobalGH,Climate!$G$15,Climate!$D$15)&lt;=0,"·",IF(IF(GlobalGH,Climate!$I$15,Climate!$F$15)&gt;Crops!$M$6,"H",IF(IF(GlobalGH,Climate!$H$15,Climate!$E$15)&lt;Crops!$K$6,"C","O")))</f>
        <v>·</v>
      </c>
      <c r="M8" s="142" t="str">
        <f aca="false">IF(IF(GlobalGH,Climate!$G$16,Climate!$D$16)&lt;=0,"·",IF(IF(GlobalGH,Climate!$I$16,Climate!$F$16)&gt;Crops!$M$6,"H",IF(IF(GlobalGH,Climate!$H$16,Climate!$E$16)&lt;Crops!$K$6,"C","O")))</f>
        <v>·</v>
      </c>
      <c r="N8" s="142" t="str">
        <f aca="false">IF(IF(GlobalGH,Climate!$G$17,Climate!$D$17)&lt;=0,"·",IF(IF(GlobalGH,Climate!$I$17,Climate!$F$17)&gt;Crops!$M$6,"H",IF(IF(GlobalGH,Climate!$H$17,Climate!$E$17)&lt;Crops!$K$6,"C","O")))</f>
        <v>·</v>
      </c>
      <c r="O8" s="142" t="str">
        <f aca="false">IF(IF(GlobalGH,Climate!$G$18,Climate!$D$18)&lt;=0,"·",IF(IF(GlobalGH,Climate!$I$18,Climate!$F$18)&gt;Crops!$M$6,"H",IF(IF(GlobalGH,Climate!$H$18,Climate!$E$18)&lt;Crops!$K$6,"C","O")))</f>
        <v>·</v>
      </c>
      <c r="P8" s="142" t="str">
        <f aca="false">IF(IF(GlobalGH,Climate!$G$19,Climate!$D$19)&lt;=0,"·",IF(IF(GlobalGH,Climate!$I$19,Climate!$F$19)&gt;Crops!$M$6,"H",IF(IF(GlobalGH,Climate!$H$19,Climate!$E$19)&lt;Crops!$K$6,"C","O")))</f>
        <v>·</v>
      </c>
      <c r="Q8" s="142" t="str">
        <f aca="false">IF(IF(GlobalGH,Climate!$G$20,Climate!$D$20)&lt;=0,"·",IF(IF(GlobalGH,Climate!$I$20,Climate!$F$20)&gt;Crops!$M$6,"H",IF(IF(GlobalGH,Climate!$H$20,Climate!$E$20)&lt;Crops!$K$6,"C","O")))</f>
        <v>·</v>
      </c>
      <c r="R8" s="142" t="str">
        <f aca="false">IF(IF(GlobalGH,Climate!$G$21,Climate!$D$21)&lt;=0,"·",IF(IF(GlobalGH,Climate!$I$21,Climate!$F$21)&gt;Crops!$M$6,"H",IF(IF(GlobalGH,Climate!$H$21,Climate!$E$21)&lt;Crops!$K$6,"C","O")))</f>
        <v>·</v>
      </c>
      <c r="S8" s="142" t="str">
        <f aca="false">IF(IF(GlobalGH,Climate!$G$22,Climate!$D$22)&lt;=0,"·",IF(IF(GlobalGH,Climate!$I$22,Climate!$F$22)&gt;Crops!$M$6,"H",IF(IF(GlobalGH,Climate!$H$22,Climate!$E$22)&lt;Crops!$K$6,"C","O")))</f>
        <v>·</v>
      </c>
      <c r="T8" s="142" t="str">
        <f aca="false">IF(IF(GlobalGH,Climate!$G$23,Climate!$D$23)&lt;=0,"·",IF(IF(GlobalGH,Climate!$I$23,Climate!$F$23)&gt;Crops!$M$6,"H",IF(IF(GlobalGH,Climate!$H$23,Climate!$E$23)&lt;Crops!$K$6,"C","O")))</f>
        <v>·</v>
      </c>
      <c r="U8" s="142" t="str">
        <f aca="false">IF(IF(GlobalGH,Climate!$G$24,Climate!$D$24)&lt;=0,"·",IF(IF(GlobalGH,Climate!$I$24,Climate!$F$24)&gt;Crops!$M$6,"H",IF(IF(GlobalGH,Climate!$H$24,Climate!$E$24)&lt;Crops!$K$6,"C","O")))</f>
        <v>·</v>
      </c>
      <c r="V8" s="142" t="str">
        <f aca="false">IF(IF(GlobalGH,Climate!$G$25,Climate!$D$25)&lt;=0,"·",IF(IF(GlobalGH,Climate!$I$25,Climate!$F$25)&gt;Crops!$M$6,"H",IF(IF(GlobalGH,Climate!$H$25,Climate!$E$25)&lt;Crops!$K$6,"C","O")))</f>
        <v>·</v>
      </c>
      <c r="W8" s="142" t="str">
        <f aca="false">IF(IF(GlobalGH,Climate!$G$26,Climate!$D$26)&lt;=0,"·",IF(IF(GlobalGH,Climate!$I$26,Climate!$F$26)&gt;Crops!$M$6,"H",IF(IF(GlobalGH,Climate!$H$26,Climate!$E$26)&lt;Crops!$K$6,"C","O")))</f>
        <v>·</v>
      </c>
      <c r="X8" s="142" t="str">
        <f aca="false">IF(IF(GlobalGH,Climate!$G$27,Climate!$D$27)&lt;=0,"·",IF(IF(GlobalGH,Climate!$I$27,Climate!$F$27)&gt;Crops!$M$6,"H",IF(IF(GlobalGH,Climate!$H$27,Climate!$E$27)&lt;Crops!$K$6,"C","O")))</f>
        <v>·</v>
      </c>
      <c r="Y8" s="142" t="str">
        <f aca="false">IF(IF(GlobalGH,Climate!$G$28,Climate!$D$28)&lt;=0,"·",IF(IF(GlobalGH,Climate!$I$28,Climate!$F$28)&gt;Crops!$M$6,"H",IF(IF(GlobalGH,Climate!$H$28,Climate!$E$28)&lt;Crops!$K$6,"C","O")))</f>
        <v>·</v>
      </c>
      <c r="Z8" s="142" t="str">
        <f aca="false">IF(IF(GlobalGH,Climate!$G$29,Climate!$D$29)&lt;=0,"·",IF(IF(GlobalGH,Climate!$I$29,Climate!$F$29)&gt;Crops!$M$6,"H",IF(IF(GlobalGH,Climate!$H$29,Climate!$E$29)&lt;Crops!$K$6,"C","O")))</f>
        <v>·</v>
      </c>
      <c r="AA8" s="142" t="str">
        <f aca="false">IF(IF(GlobalGH,Climate!$G$30,Climate!$D$30)&lt;=0,"·",IF(IF(GlobalGH,Climate!$I$30,Climate!$F$30)&gt;Crops!$M$6,"H",IF(IF(GlobalGH,Climate!$H$30,Climate!$E$30)&lt;Crops!$K$6,"C","O")))</f>
        <v>·</v>
      </c>
      <c r="AB8" s="142" t="str">
        <f aca="false">IF(IF(GlobalGH,Climate!$G$31,Climate!$D$31)&lt;=0,"·",IF(IF(GlobalGH,Climate!$I$31,Climate!$F$31)&gt;Crops!$M$6,"H",IF(IF(GlobalGH,Climate!$H$31,Climate!$E$31)&lt;Crops!$K$6,"C","O")))</f>
        <v>·</v>
      </c>
      <c r="AC8" s="142" t="str">
        <f aca="false">IF(IF(GlobalGH,Climate!$G$32,Climate!$D$32)&lt;=0,"·",IF(IF(GlobalGH,Climate!$I$32,Climate!$F$32)&gt;Crops!$M$6,"H",IF(IF(GlobalGH,Climate!$H$32,Climate!$E$32)&lt;Crops!$K$6,"C","O")))</f>
        <v>·</v>
      </c>
      <c r="AD8" s="142" t="str">
        <f aca="false">IF(IF(GlobalGH,Climate!$G$33,Climate!$D$33)&lt;=0,"·",IF(IF(GlobalGH,Climate!$I$33,Climate!$F$33)&gt;Crops!$M$6,"H",IF(IF(GlobalGH,Climate!$H$33,Climate!$E$33)&lt;Crops!$K$6,"C","O")))</f>
        <v>·</v>
      </c>
      <c r="AE8" s="142" t="str">
        <f aca="false">IF(IF(GlobalGH,Climate!$G$34,Climate!$D$34)&lt;=0,"·",IF(IF(GlobalGH,Climate!$I$34,Climate!$F$34)&gt;Crops!$M$6,"H",IF(IF(GlobalGH,Climate!$H$34,Climate!$E$34)&lt;Crops!$K$6,"C","O")))</f>
        <v>·</v>
      </c>
      <c r="AF8" s="142" t="str">
        <f aca="false">IF(IF(GlobalGH,Climate!$G$35,Climate!$D$35)&lt;=0,"·",IF(IF(GlobalGH,Climate!$I$35,Climate!$F$35)&gt;Crops!$M$6,"H",IF(IF(GlobalGH,Climate!$H$35,Climate!$E$35)&lt;Crops!$K$6,"C","O")))</f>
        <v>·</v>
      </c>
      <c r="AG8" s="142" t="str">
        <f aca="false">IF(IF(GlobalGH,Climate!$G$36,Climate!$D$36)&lt;=0,"·",IF(IF(GlobalGH,Climate!$I$36,Climate!$F$36)&gt;Crops!$M$6,"H",IF(IF(GlobalGH,Climate!$H$36,Climate!$E$36)&lt;Crops!$K$6,"C","O")))</f>
        <v>·</v>
      </c>
      <c r="AH8" s="142" t="str">
        <f aca="false">IF(IF(GlobalGH,Climate!$G$37,Climate!$D$37)&lt;=0,"·",IF(IF(GlobalGH,Climate!$I$37,Climate!$F$37)&gt;Crops!$M$6,"H",IF(IF(GlobalGH,Climate!$H$37,Climate!$E$37)&lt;Crops!$K$6,"C","O")))</f>
        <v>·</v>
      </c>
      <c r="AI8" s="142" t="str">
        <f aca="false">IF(IF(GlobalGH,Climate!$G$38,Climate!$D$38)&lt;=0,"·",IF(IF(GlobalGH,Climate!$I$38,Climate!$F$38)&gt;Crops!$M$6,"H",IF(IF(GlobalGH,Climate!$H$38,Climate!$E$38)&lt;Crops!$K$6,"C","O")))</f>
        <v>O</v>
      </c>
      <c r="AJ8" s="142" t="str">
        <f aca="false">IF(IF(GlobalGH,Climate!$G$39,Climate!$D$39)&lt;=0,"·",IF(IF(GlobalGH,Climate!$I$39,Climate!$F$39)&gt;Crops!$M$6,"H",IF(IF(GlobalGH,Climate!$H$39,Climate!$E$39)&lt;Crops!$K$6,"C","O")))</f>
        <v>O</v>
      </c>
      <c r="AK8" s="142" t="str">
        <f aca="false">IF(IF(GlobalGH,Climate!$G$40,Climate!$D$40)&lt;=0,"·",IF(IF(GlobalGH,Climate!$I$40,Climate!$F$40)&gt;Crops!$M$6,"H",IF(IF(GlobalGH,Climate!$H$40,Climate!$E$40)&lt;Crops!$K$6,"C","O")))</f>
        <v>O</v>
      </c>
      <c r="AL8" s="142" t="str">
        <f aca="false">IF(IF(GlobalGH,Climate!$G$41,Climate!$D$41)&lt;=0,"·",IF(IF(GlobalGH,Climate!$I$41,Climate!$F$41)&gt;Crops!$M$6,"H",IF(IF(GlobalGH,Climate!$H$41,Climate!$E$41)&lt;Crops!$K$6,"C","O")))</f>
        <v>O</v>
      </c>
      <c r="AM8" s="142" t="str">
        <f aca="false">IF(IF(GlobalGH,Climate!$G$42,Climate!$D$42)&lt;=0,"·",IF(IF(GlobalGH,Climate!$I$42,Climate!$F$42)&gt;Crops!$M$6,"H",IF(IF(GlobalGH,Climate!$H$42,Climate!$E$42)&lt;Crops!$K$6,"C","O")))</f>
        <v>O</v>
      </c>
      <c r="AN8" s="142" t="str">
        <f aca="false">IF(IF(GlobalGH,Climate!$G$43,Climate!$D$43)&lt;=0,"·",IF(IF(GlobalGH,Climate!$I$43,Climate!$F$43)&gt;Crops!$M$6,"H",IF(IF(GlobalGH,Climate!$H$43,Climate!$E$43)&lt;Crops!$K$6,"C","O")))</f>
        <v>O</v>
      </c>
      <c r="AO8" s="142" t="str">
        <f aca="false">IF(IF(GlobalGH,Climate!$G$44,Climate!$D$44)&lt;=0,"·",IF(IF(GlobalGH,Climate!$I$44,Climate!$F$44)&gt;Crops!$M$6,"H",IF(IF(GlobalGH,Climate!$H$44,Climate!$E$44)&lt;Crops!$K$6,"C","O")))</f>
        <v>O</v>
      </c>
      <c r="AP8" s="142" t="str">
        <f aca="false">IF(IF(GlobalGH,Climate!$G$45,Climate!$D$45)&lt;=0,"·",IF(IF(GlobalGH,Climate!$I$45,Climate!$F$45)&gt;Crops!$M$6,"H",IF(IF(GlobalGH,Climate!$H$45,Climate!$E$45)&lt;Crops!$K$6,"C","O")))</f>
        <v>O</v>
      </c>
      <c r="AQ8" s="142" t="str">
        <f aca="false">IF(IF(GlobalGH,Climate!$G$46,Climate!$D$46)&lt;=0,"·",IF(IF(GlobalGH,Climate!$I$46,Climate!$F$46)&gt;Crops!$M$6,"H",IF(IF(GlobalGH,Climate!$H$46,Climate!$E$46)&lt;Crops!$K$6,"C","O")))</f>
        <v>O</v>
      </c>
      <c r="AR8" s="142" t="str">
        <f aca="false">IF(IF(GlobalGH,Climate!$G$47,Climate!$D$47)&lt;=0,"·",IF(IF(GlobalGH,Climate!$I$47,Climate!$F$47)&gt;Crops!$M$6,"H",IF(IF(GlobalGH,Climate!$H$47,Climate!$E$47)&lt;Crops!$K$6,"C","O")))</f>
        <v>O</v>
      </c>
      <c r="AS8" s="142" t="str">
        <f aca="false">IF(IF(GlobalGH,Climate!$G$48,Climate!$D$48)&lt;=0,"·",IF(IF(GlobalGH,Climate!$I$48,Climate!$F$48)&gt;Crops!$M$6,"H",IF(IF(GlobalGH,Climate!$H$48,Climate!$E$48)&lt;Crops!$K$6,"C","O")))</f>
        <v>O</v>
      </c>
      <c r="AT8" s="142" t="str">
        <f aca="false">IF(IF(GlobalGH,Climate!$G$49,Climate!$D$49)&lt;=0,"·",IF(IF(GlobalGH,Climate!$I$49,Climate!$F$49)&gt;Crops!$M$6,"H",IF(IF(GlobalGH,Climate!$H$49,Climate!$E$49)&lt;Crops!$K$6,"C","O")))</f>
        <v>O</v>
      </c>
      <c r="AU8" s="142" t="str">
        <f aca="false">IF(IF(GlobalGH,Climate!$G$50,Climate!$D$50)&lt;=0,"·",IF(IF(GlobalGH,Climate!$I$50,Climate!$F$50)&gt;Crops!$M$6,"H",IF(IF(GlobalGH,Climate!$H$50,Climate!$E$50)&lt;Crops!$K$6,"C","O")))</f>
        <v>O</v>
      </c>
      <c r="AV8" s="142" t="str">
        <f aca="false">IF(IF(GlobalGH,Climate!$G$51,Climate!$D$51)&lt;=0,"·",IF(IF(GlobalGH,Climate!$I$51,Climate!$F$51)&gt;Crops!$M$6,"H",IF(IF(GlobalGH,Climate!$H$51,Climate!$E$51)&lt;Crops!$K$6,"C","O")))</f>
        <v>O</v>
      </c>
      <c r="AW8" s="142" t="str">
        <f aca="false">IF(IF(GlobalGH,Climate!$G$52,Climate!$D$52)&lt;=0,"·",IF(IF(GlobalGH,Climate!$I$52,Climate!$F$52)&gt;Crops!$M$6,"H",IF(IF(GlobalGH,Climate!$H$52,Climate!$E$52)&lt;Crops!$K$6,"C","O")))</f>
        <v>O</v>
      </c>
      <c r="AX8" s="142" t="str">
        <f aca="false">IF(IF(GlobalGH,Climate!$G$53,Climate!$D$53)&lt;=0,"·",IF(IF(GlobalGH,Climate!$I$53,Climate!$F$53)&gt;Crops!$M$6,"H",IF(IF(GlobalGH,Climate!$H$53,Climate!$E$53)&lt;Crops!$K$6,"C","O")))</f>
        <v>O</v>
      </c>
      <c r="AY8" s="142" t="str">
        <f aca="false">IF(IF(GlobalGH,Climate!$G$54,Climate!$D$54)&lt;=0,"·",IF(IF(GlobalGH,Climate!$I$54,Climate!$F$54)&gt;Crops!$M$6,"H",IF(IF(GlobalGH,Climate!$H$54,Climate!$E$54)&lt;Crops!$K$6,"C","O")))</f>
        <v>O</v>
      </c>
      <c r="AZ8" s="142" t="str">
        <f aca="false">IF(IF(GlobalGH,Climate!$G$55,Climate!$D$55)&lt;=0,"·",IF(IF(GlobalGH,Climate!$I$55,Climate!$F$55)&gt;Crops!$M$6,"H",IF(IF(GlobalGH,Climate!$H$55,Climate!$E$55)&lt;Crops!$K$6,"C","O")))</f>
        <v>O</v>
      </c>
      <c r="BA8" s="142" t="str">
        <f aca="false">IF(IF(GlobalGH,Climate!$G$56,Climate!$D$56)&lt;=0,"·",IF(IF(GlobalGH,Climate!$I$56,Climate!$F$56)&gt;Crops!$M$6,"H",IF(IF(GlobalGH,Climate!$H$56,Climate!$E$56)&lt;Crops!$K$6,"C","O")))</f>
        <v>O</v>
      </c>
      <c r="BB8" s="142" t="str">
        <f aca="false">IF(IF(GlobalGH,Climate!$G$57,Climate!$D$57)&lt;=0,"·",IF(IF(GlobalGH,Climate!$I$57,Climate!$F$57)&gt;Crops!$M$6,"H",IF(IF(GlobalGH,Climate!$H$57,Climate!$E$57)&lt;Crops!$K$6,"C","O")))</f>
        <v>O</v>
      </c>
      <c r="BC8" s="142" t="str">
        <f aca="false">IF(IF(GlobalGH,Climate!$G$58,Climate!$D$58)&lt;=0,"·",IF(IF(GlobalGH,Climate!$I$58,Climate!$F$58)&gt;Crops!$M$6,"H",IF(IF(GlobalGH,Climate!$H$58,Climate!$E$58)&lt;Crops!$K$6,"C","O")))</f>
        <v>O</v>
      </c>
      <c r="BD8" s="142" t="str">
        <f aca="false">IF(IF(GlobalGH,Climate!$G$59,Climate!$D$59)&lt;=0,"·",IF(IF(GlobalGH,Climate!$I$59,Climate!$F$59)&gt;Crops!$M$6,"H",IF(IF(GlobalGH,Climate!$H$59,Climate!$E$59)&lt;Crops!$K$6,"C","O")))</f>
        <v>O</v>
      </c>
      <c r="BE8" s="142" t="str">
        <f aca="false">IF(IF(GlobalGH,Climate!$G$60,Climate!$D$60)&lt;=0,"·",IF(IF(GlobalGH,Climate!$I$60,Climate!$F$60)&gt;Crops!$M$6,"H",IF(IF(GlobalGH,Climate!$H$60,Climate!$E$60)&lt;Crops!$K$6,"C","O")))</f>
        <v>O</v>
      </c>
      <c r="BF8" s="142" t="str">
        <f aca="false">IF(IF(GlobalGH,Climate!$G$61,Climate!$D$61)&lt;=0,"·",IF(IF(GlobalGH,Climate!$I$61,Climate!$F$61)&gt;Crops!$M$6,"H",IF(IF(GlobalGH,Climate!$H$61,Climate!$E$61)&lt;Crops!$K$6,"C","O")))</f>
        <v>O</v>
      </c>
      <c r="BG8" s="142" t="str">
        <f aca="false">IF(IF(GlobalGH,Climate!$G$62,Climate!$D$62)&lt;=0,"·",IF(IF(GlobalGH,Climate!$I$62,Climate!$F$62)&gt;Crops!$M$6,"H",IF(IF(GlobalGH,Climate!$H$62,Climate!$E$62)&lt;Crops!$K$6,"C","O")))</f>
        <v>O</v>
      </c>
      <c r="BH8" s="142" t="str">
        <f aca="false">IF(IF(GlobalGH,Climate!$G$63,Climate!$D$63)&lt;=0,"·",IF(IF(GlobalGH,Climate!$I$63,Climate!$F$63)&gt;Crops!$M$6,"H",IF(IF(GlobalGH,Climate!$H$63,Climate!$E$63)&lt;Crops!$K$6,"C","O")))</f>
        <v>O</v>
      </c>
      <c r="BI8" s="142" t="str">
        <f aca="false">IF(IF(GlobalGH,Climate!$G$64,Climate!$D$64)&lt;=0,"·",IF(IF(GlobalGH,Climate!$I$64,Climate!$F$64)&gt;Crops!$M$6,"H",IF(IF(GlobalGH,Climate!$H$64,Climate!$E$64)&lt;Crops!$K$6,"C","O")))</f>
        <v>O</v>
      </c>
      <c r="BJ8" s="142" t="str">
        <f aca="false">IF(IF(GlobalGH,Climate!$G$65,Climate!$D$65)&lt;=0,"·",IF(IF(GlobalGH,Climate!$I$65,Climate!$F$65)&gt;Crops!$M$6,"H",IF(IF(GlobalGH,Climate!$H$65,Climate!$E$65)&lt;Crops!$K$6,"C","O")))</f>
        <v>O</v>
      </c>
      <c r="BK8" s="142" t="str">
        <f aca="false">IF(IF(GlobalGH,Climate!$G$66,Climate!$D$66)&lt;=0,"·",IF(IF(GlobalGH,Climate!$I$66,Climate!$F$66)&gt;Crops!$M$6,"H",IF(IF(GlobalGH,Climate!$H$66,Climate!$E$66)&lt;Crops!$K$6,"C","O")))</f>
        <v>O</v>
      </c>
      <c r="BL8" s="142" t="str">
        <f aca="false">IF(IF(GlobalGH,Climate!$G$67,Climate!$D$67)&lt;=0,"·",IF(IF(GlobalGH,Climate!$I$67,Climate!$F$67)&gt;Crops!$M$6,"H",IF(IF(GlobalGH,Climate!$H$67,Climate!$E$67)&lt;Crops!$K$6,"C","O")))</f>
        <v>O</v>
      </c>
      <c r="BM8" s="142" t="str">
        <f aca="false">IF(IF(GlobalGH,Climate!$G$68,Climate!$D$68)&lt;=0,"·",IF(IF(GlobalGH,Climate!$I$68,Climate!$F$68)&gt;Crops!$M$6,"H",IF(IF(GlobalGH,Climate!$H$68,Climate!$E$68)&lt;Crops!$K$6,"C","O")))</f>
        <v>O</v>
      </c>
      <c r="BN8" s="142" t="str">
        <f aca="false">IF(IF(GlobalGH,Climate!$G$69,Climate!$D$69)&lt;=0,"·",IF(IF(GlobalGH,Climate!$I$69,Climate!$F$69)&gt;Crops!$M$6,"H",IF(IF(GlobalGH,Climate!$H$69,Climate!$E$69)&lt;Crops!$K$6,"C","O")))</f>
        <v>O</v>
      </c>
      <c r="BO8" s="142" t="str">
        <f aca="false">IF(IF(GlobalGH,Climate!$G$70,Climate!$D$70)&lt;=0,"·",IF(IF(GlobalGH,Climate!$I$70,Climate!$F$70)&gt;Crops!$M$6,"H",IF(IF(GlobalGH,Climate!$H$70,Climate!$E$70)&lt;Crops!$K$6,"C","O")))</f>
        <v>O</v>
      </c>
      <c r="BP8" s="142" t="str">
        <f aca="false">IF(IF(GlobalGH,Climate!$G$71,Climate!$D$71)&lt;=0,"·",IF(IF(GlobalGH,Climate!$I$71,Climate!$F$71)&gt;Crops!$M$6,"H",IF(IF(GlobalGH,Climate!$H$71,Climate!$E$71)&lt;Crops!$K$6,"C","O")))</f>
        <v>O</v>
      </c>
      <c r="BQ8" s="142" t="str">
        <f aca="false">IF(IF(GlobalGH,Climate!$G$72,Climate!$D$72)&lt;=0,"·",IF(IF(GlobalGH,Climate!$I$72,Climate!$F$72)&gt;Crops!$M$6,"H",IF(IF(GlobalGH,Climate!$H$72,Climate!$E$72)&lt;Crops!$K$6,"C","O")))</f>
        <v>O</v>
      </c>
      <c r="BR8" s="142" t="str">
        <f aca="false">IF(IF(GlobalGH,Climate!$G$73,Climate!$D$73)&lt;=0,"·",IF(IF(GlobalGH,Climate!$I$73,Climate!$F$73)&gt;Crops!$M$6,"H",IF(IF(GlobalGH,Climate!$H$73,Climate!$E$73)&lt;Crops!$K$6,"C","O")))</f>
        <v>O</v>
      </c>
      <c r="BS8" s="142" t="str">
        <f aca="false">IF(IF(GlobalGH,Climate!$G$74,Climate!$D$74)&lt;=0,"·",IF(IF(GlobalGH,Climate!$I$74,Climate!$F$74)&gt;Crops!$M$6,"H",IF(IF(GlobalGH,Climate!$H$74,Climate!$E$74)&lt;Crops!$K$6,"C","O")))</f>
        <v>O</v>
      </c>
      <c r="BT8" s="142" t="str">
        <f aca="false">IF(IF(GlobalGH,Climate!$G$75,Climate!$D$75)&lt;=0,"·",IF(IF(GlobalGH,Climate!$I$75,Climate!$F$75)&gt;Crops!$M$6,"H",IF(IF(GlobalGH,Climate!$H$75,Climate!$E$75)&lt;Crops!$K$6,"C","O")))</f>
        <v>O</v>
      </c>
      <c r="BU8" s="142" t="str">
        <f aca="false">IF(IF(GlobalGH,Climate!$G$76,Climate!$D$76)&lt;=0,"·",IF(IF(GlobalGH,Climate!$I$76,Climate!$F$76)&gt;Crops!$M$6,"H",IF(IF(GlobalGH,Climate!$H$76,Climate!$E$76)&lt;Crops!$K$6,"C","O")))</f>
        <v>O</v>
      </c>
      <c r="BV8" s="142" t="str">
        <f aca="false">IF(IF(GlobalGH,Climate!$G$77,Climate!$D$77)&lt;=0,"·",IF(IF(GlobalGH,Climate!$I$77,Climate!$F$77)&gt;Crops!$M$6,"H",IF(IF(GlobalGH,Climate!$H$77,Climate!$E$77)&lt;Crops!$K$6,"C","O")))</f>
        <v>O</v>
      </c>
      <c r="BW8" s="142" t="str">
        <f aca="false">IF(IF(GlobalGH,Climate!$G$78,Climate!$D$78)&lt;=0,"·",IF(IF(GlobalGH,Climate!$I$78,Climate!$F$78)&gt;Crops!$M$6,"H",IF(IF(GlobalGH,Climate!$H$78,Climate!$E$78)&lt;Crops!$K$6,"C","O")))</f>
        <v>O</v>
      </c>
      <c r="BX8" s="142" t="str">
        <f aca="false">IF(IF(GlobalGH,Climate!$G$79,Climate!$D$79)&lt;=0,"·",IF(IF(GlobalGH,Climate!$I$79,Climate!$F$79)&gt;Crops!$M$6,"H",IF(IF(GlobalGH,Climate!$H$79,Climate!$E$79)&lt;Crops!$K$6,"C","O")))</f>
        <v>O</v>
      </c>
      <c r="BY8" s="142" t="str">
        <f aca="false">IF(IF(GlobalGH,Climate!$G$80,Climate!$D$80)&lt;=0,"·",IF(IF(GlobalGH,Climate!$I$80,Climate!$F$80)&gt;Crops!$M$6,"H",IF(IF(GlobalGH,Climate!$H$80,Climate!$E$80)&lt;Crops!$K$6,"C","O")))</f>
        <v>O</v>
      </c>
      <c r="BZ8" s="142" t="str">
        <f aca="false">IF(IF(GlobalGH,Climate!$G$81,Climate!$D$81)&lt;=0,"·",IF(IF(GlobalGH,Climate!$I$81,Climate!$F$81)&gt;Crops!$M$6,"H",IF(IF(GlobalGH,Climate!$H$81,Climate!$E$81)&lt;Crops!$K$6,"C","O")))</f>
        <v>O</v>
      </c>
      <c r="CA8" s="142" t="str">
        <f aca="false">IF(IF(GlobalGH,Climate!$G$82,Climate!$D$82)&lt;=0,"·",IF(IF(GlobalGH,Climate!$I$82,Climate!$F$82)&gt;Crops!$M$6,"H",IF(IF(GlobalGH,Climate!$H$82,Climate!$E$82)&lt;Crops!$K$6,"C","O")))</f>
        <v>O</v>
      </c>
      <c r="CB8" s="142" t="str">
        <f aca="false">IF(IF(GlobalGH,Climate!$G$83,Climate!$D$83)&lt;=0,"·",IF(IF(GlobalGH,Climate!$I$83,Climate!$F$83)&gt;Crops!$M$6,"H",IF(IF(GlobalGH,Climate!$H$83,Climate!$E$83)&lt;Crops!$K$6,"C","O")))</f>
        <v>O</v>
      </c>
      <c r="CC8" s="142" t="str">
        <f aca="false">IF(IF(GlobalGH,Climate!$G$84,Climate!$D$84)&lt;=0,"·",IF(IF(GlobalGH,Climate!$I$84,Climate!$F$84)&gt;Crops!$M$6,"H",IF(IF(GlobalGH,Climate!$H$84,Climate!$E$84)&lt;Crops!$K$6,"C","O")))</f>
        <v>O</v>
      </c>
      <c r="CD8" s="142" t="str">
        <f aca="false">IF(IF(GlobalGH,Climate!$G$85,Climate!$D$85)&lt;=0,"·",IF(IF(GlobalGH,Climate!$I$85,Climate!$F$85)&gt;Crops!$M$6,"H",IF(IF(GlobalGH,Climate!$H$85,Climate!$E$85)&lt;Crops!$K$6,"C","O")))</f>
        <v>O</v>
      </c>
      <c r="CE8" s="142" t="str">
        <f aca="false">IF(IF(GlobalGH,Climate!$G$86,Climate!$D$86)&lt;=0,"·",IF(IF(GlobalGH,Climate!$I$86,Climate!$F$86)&gt;Crops!$M$6,"H",IF(IF(GlobalGH,Climate!$H$86,Climate!$E$86)&lt;Crops!$K$6,"C","O")))</f>
        <v>O</v>
      </c>
      <c r="CF8" s="142" t="str">
        <f aca="false">IF(IF(GlobalGH,Climate!$G$87,Climate!$D$87)&lt;=0,"·",IF(IF(GlobalGH,Climate!$I$87,Climate!$F$87)&gt;Crops!$M$6,"H",IF(IF(GlobalGH,Climate!$H$87,Climate!$E$87)&lt;Crops!$K$6,"C","O")))</f>
        <v>O</v>
      </c>
      <c r="CG8" s="142" t="str">
        <f aca="false">IF(IF(GlobalGH,Climate!$G$88,Climate!$D$88)&lt;=0,"·",IF(IF(GlobalGH,Climate!$I$88,Climate!$F$88)&gt;Crops!$M$6,"H",IF(IF(GlobalGH,Climate!$H$88,Climate!$E$88)&lt;Crops!$K$6,"C","O")))</f>
        <v>·</v>
      </c>
      <c r="CH8" s="142" t="str">
        <f aca="false">IF(IF(GlobalGH,Climate!$G$89,Climate!$D$89)&lt;=0,"·",IF(IF(GlobalGH,Climate!$I$89,Climate!$F$89)&gt;Crops!$M$6,"H",IF(IF(GlobalGH,Climate!$H$89,Climate!$E$89)&lt;Crops!$K$6,"C","O")))</f>
        <v>·</v>
      </c>
      <c r="CI8" s="142" t="str">
        <f aca="false">IF(IF(GlobalGH,Climate!$G$90,Climate!$D$90)&lt;=0,"·",IF(IF(GlobalGH,Climate!$I$90,Climate!$F$90)&gt;Crops!$M$6,"H",IF(IF(GlobalGH,Climate!$H$90,Climate!$E$90)&lt;Crops!$K$6,"C","O")))</f>
        <v>·</v>
      </c>
      <c r="CJ8" s="142" t="str">
        <f aca="false">IF(IF(GlobalGH,Climate!$G$91,Climate!$D$91)&lt;=0,"·",IF(IF(GlobalGH,Climate!$I$91,Climate!$F$91)&gt;Crops!$M$6,"H",IF(IF(GlobalGH,Climate!$H$91,Climate!$E$91)&lt;Crops!$K$6,"C","O")))</f>
        <v>·</v>
      </c>
      <c r="CK8" s="142" t="str">
        <f aca="false">IF(IF(GlobalGH,Climate!$G$92,Climate!$D$92)&lt;=0,"·",IF(IF(GlobalGH,Climate!$I$92,Climate!$F$92)&gt;Crops!$M$6,"H",IF(IF(GlobalGH,Climate!$H$92,Climate!$E$92)&lt;Crops!$K$6,"C","O")))</f>
        <v>·</v>
      </c>
      <c r="CL8" s="142" t="str">
        <f aca="false">IF(IF(GlobalGH,Climate!$G$93,Climate!$D$93)&lt;=0,"·",IF(IF(GlobalGH,Climate!$I$93,Climate!$F$93)&gt;Crops!$M$6,"H",IF(IF(GlobalGH,Climate!$H$93,Climate!$E$93)&lt;Crops!$K$6,"C","O")))</f>
        <v>·</v>
      </c>
      <c r="CM8" s="142" t="str">
        <f aca="false">IF(IF(GlobalGH,Climate!$G$94,Climate!$D$94)&lt;=0,"·",IF(IF(GlobalGH,Climate!$I$94,Climate!$F$94)&gt;Crops!$M$6,"H",IF(IF(GlobalGH,Climate!$H$94,Climate!$E$94)&lt;Crops!$K$6,"C","O")))</f>
        <v>·</v>
      </c>
      <c r="CN8" s="142" t="str">
        <f aca="false">IF(IF(GlobalGH,Climate!$G$95,Climate!$D$95)&lt;=0,"·",IF(IF(GlobalGH,Climate!$I$95,Climate!$F$95)&gt;Crops!$M$6,"H",IF(IF(GlobalGH,Climate!$H$95,Climate!$E$95)&lt;Crops!$K$6,"C","O")))</f>
        <v>·</v>
      </c>
      <c r="CO8" s="142" t="str">
        <f aca="false">IF(IF(GlobalGH,Climate!$G$96,Climate!$D$96)&lt;=0,"·",IF(IF(GlobalGH,Climate!$I$96,Climate!$F$96)&gt;Crops!$M$6,"H",IF(IF(GlobalGH,Climate!$H$96,Climate!$E$96)&lt;Crops!$K$6,"C","O")))</f>
        <v>·</v>
      </c>
      <c r="CP8" s="142" t="str">
        <f aca="false">IF(IF(GlobalGH,Climate!$G$97,Climate!$D$97)&lt;=0,"·",IF(IF(GlobalGH,Climate!$I$97,Climate!$F$97)&gt;Crops!$M$6,"H",IF(IF(GlobalGH,Climate!$H$97,Climate!$E$97)&lt;Crops!$K$6,"C","O")))</f>
        <v>·</v>
      </c>
      <c r="CQ8" s="142" t="str">
        <f aca="false">IF(IF(GlobalGH,Climate!$G$98,Climate!$D$98)&lt;=0,"·",IF(IF(GlobalGH,Climate!$I$98,Climate!$F$98)&gt;Crops!$M$6,"H",IF(IF(GlobalGH,Climate!$H$98,Climate!$E$98)&lt;Crops!$K$6,"C","O")))</f>
        <v>·</v>
      </c>
      <c r="CR8" s="142" t="str">
        <f aca="false">IF(IF(GlobalGH,Climate!$G$99,Climate!$D$99)&lt;=0,"·",IF(IF(GlobalGH,Climate!$I$99,Climate!$F$99)&gt;Crops!$M$6,"H",IF(IF(GlobalGH,Climate!$H$99,Climate!$E$99)&lt;Crops!$K$6,"C","O")))</f>
        <v>·</v>
      </c>
      <c r="CS8" s="142" t="str">
        <f aca="false">IF(IF(GlobalGH,Climate!$G$100,Climate!$D$100)&lt;=0,"·",IF(IF(GlobalGH,Climate!$I$100,Climate!$F$100)&gt;Crops!$M$6,"H",IF(IF(GlobalGH,Climate!$H$100,Climate!$E$100)&lt;Crops!$K$6,"C","O")))</f>
        <v>·</v>
      </c>
      <c r="CT8" s="142" t="str">
        <f aca="false">IF(IF(GlobalGH,Climate!$G$101,Climate!$D$101)&lt;=0,"·",IF(IF(GlobalGH,Climate!$I$101,Climate!$F$101)&gt;Crops!$M$6,"H",IF(IF(GlobalGH,Climate!$H$101,Climate!$E$101)&lt;Crops!$K$6,"C","O")))</f>
        <v>·</v>
      </c>
      <c r="CU8" s="142" t="str">
        <f aca="false">IF(IF(GlobalGH,Climate!$G$102,Climate!$D$102)&lt;=0,"·",IF(IF(GlobalGH,Climate!$I$102,Climate!$F$102)&gt;Crops!$M$6,"H",IF(IF(GlobalGH,Climate!$H$102,Climate!$E$102)&lt;Crops!$K$6,"C","O")))</f>
        <v>·</v>
      </c>
      <c r="CV8" s="142" t="str">
        <f aca="false">IF(IF(GlobalGH,Climate!$G$103,Climate!$D$103)&lt;=0,"·",IF(IF(GlobalGH,Climate!$I$103,Climate!$F$103)&gt;Crops!$M$6,"H",IF(IF(GlobalGH,Climate!$H$103,Climate!$E$103)&lt;Crops!$K$6,"C","O")))</f>
        <v>·</v>
      </c>
      <c r="CW8" s="142" t="str">
        <f aca="false">IF(IF(GlobalGH,Climate!$G$104,Climate!$D$104)&lt;=0,"·",IF(IF(GlobalGH,Climate!$I$104,Climate!$F$104)&gt;Crops!$M$6,"H",IF(IF(GlobalGH,Climate!$H$104,Climate!$E$104)&lt;Crops!$K$6,"C","O")))</f>
        <v>·</v>
      </c>
      <c r="CX8" s="142" t="str">
        <f aca="false">IF(IF(GlobalGH,Climate!$G$105,Climate!$D$105)&lt;=0,"·",IF(IF(GlobalGH,Climate!$I$105,Climate!$F$105)&gt;Crops!$M$6,"H",IF(IF(GlobalGH,Climate!$H$105,Climate!$E$105)&lt;Crops!$K$6,"C","O")))</f>
        <v>·</v>
      </c>
      <c r="CY8" s="142" t="str">
        <f aca="false">IF(IF(GlobalGH,Climate!$G$106,Climate!$D$106)&lt;=0,"·",IF(IF(GlobalGH,Climate!$I$106,Climate!$F$106)&gt;Crops!$M$6,"H",IF(IF(GlobalGH,Climate!$H$106,Climate!$E$106)&lt;Crops!$K$6,"C","O")))</f>
        <v>·</v>
      </c>
      <c r="CZ8" s="142" t="str">
        <f aca="false">IF(IF(GlobalGH,Climate!$G$107,Climate!$D$107)&lt;=0,"·",IF(IF(GlobalGH,Climate!$I$107,Climate!$F$107)&gt;Crops!$M$6,"H",IF(IF(GlobalGH,Climate!$H$107,Climate!$E$107)&lt;Crops!$K$6,"C","O")))</f>
        <v>·</v>
      </c>
      <c r="DA8" s="142" t="str">
        <f aca="false">IF(IF(GlobalGH,Climate!$G$108,Climate!$D$108)&lt;=0,"·",IF(IF(GlobalGH,Climate!$I$108,Climate!$F$108)&gt;Crops!$M$6,"H",IF(IF(GlobalGH,Climate!$H$108,Climate!$E$108)&lt;Crops!$K$6,"C","O")))</f>
        <v>·</v>
      </c>
      <c r="DB8" s="142" t="str">
        <f aca="false">IF(IF(GlobalGH,Climate!$G$109,Climate!$D$109)&lt;=0,"·",IF(IF(GlobalGH,Climate!$I$109,Climate!$F$109)&gt;Crops!$M$6,"H",IF(IF(GlobalGH,Climate!$H$109,Climate!$E$109)&lt;Crops!$K$6,"C","O")))</f>
        <v>·</v>
      </c>
      <c r="DC8" s="142" t="str">
        <f aca="false">IF(IF(GlobalGH,Climate!$G$110,Climate!$D$110)&lt;=0,"·",IF(IF(GlobalGH,Climate!$I$110,Climate!$F$110)&gt;Crops!$M$6,"H",IF(IF(GlobalGH,Climate!$H$110,Climate!$E$110)&lt;Crops!$K$6,"C","O")))</f>
        <v>·</v>
      </c>
      <c r="DD8" s="142" t="str">
        <f aca="false">IF(IF(GlobalGH,Climate!$G$111,Climate!$D$111)&lt;=0,"·",IF(IF(GlobalGH,Climate!$I$111,Climate!$F$111)&gt;Crops!$M$6,"H",IF(IF(GlobalGH,Climate!$H$111,Climate!$E$111)&lt;Crops!$K$6,"C","O")))</f>
        <v>·</v>
      </c>
      <c r="DE8" s="142" t="str">
        <f aca="false">IF(IF(GlobalGH,Climate!$G$112,Climate!$D$112)&lt;=0,"·",IF(IF(GlobalGH,Climate!$I$112,Climate!$F$112)&gt;Crops!$M$6,"H",IF(IF(GlobalGH,Climate!$H$112,Climate!$E$112)&lt;Crops!$K$6,"C","O")))</f>
        <v>·</v>
      </c>
      <c r="DF8" s="143" t="n">
        <f aca="false">COUNTIF(B8:DE8,"O")</f>
        <v>50</v>
      </c>
      <c r="DG8" s="139" t="s">
        <v>421</v>
      </c>
    </row>
    <row r="9" customFormat="false" ht="15" hidden="false" customHeight="true" outlineLevel="0" collapsed="false">
      <c r="A9" s="141" t="str">
        <f aca="false">Crops!$B$7</f>
        <v>Parsnip</v>
      </c>
      <c r="B9" s="142" t="str">
        <f aca="false">IF(IF(GlobalGH,Climate!$G$5,Climate!$D$5)&lt;=0,"·",IF(IF(GlobalGH,Climate!$I$5,Climate!$F$5)&gt;Crops!$M$7,"H",IF(IF(GlobalGH,Climate!$H$5,Climate!$E$5)&lt;Crops!$K$7,"C","O")))</f>
        <v>·</v>
      </c>
      <c r="C9" s="142" t="str">
        <f aca="false">IF(IF(GlobalGH,Climate!$G$6,Climate!$D$6)&lt;=0,"·",IF(IF(GlobalGH,Climate!$I$6,Climate!$F$6)&gt;Crops!$M$7,"H",IF(IF(GlobalGH,Climate!$H$6,Climate!$E$6)&lt;Crops!$K$7,"C","O")))</f>
        <v>·</v>
      </c>
      <c r="D9" s="142" t="str">
        <f aca="false">IF(IF(GlobalGH,Climate!$G$7,Climate!$D$7)&lt;=0,"·",IF(IF(GlobalGH,Climate!$I$7,Climate!$F$7)&gt;Crops!$M$7,"H",IF(IF(GlobalGH,Climate!$H$7,Climate!$E$7)&lt;Crops!$K$7,"C","O")))</f>
        <v>·</v>
      </c>
      <c r="E9" s="142" t="str">
        <f aca="false">IF(IF(GlobalGH,Climate!$G$8,Climate!$D$8)&lt;=0,"·",IF(IF(GlobalGH,Climate!$I$8,Climate!$F$8)&gt;Crops!$M$7,"H",IF(IF(GlobalGH,Climate!$H$8,Climate!$E$8)&lt;Crops!$K$7,"C","O")))</f>
        <v>·</v>
      </c>
      <c r="F9" s="142" t="str">
        <f aca="false">IF(IF(GlobalGH,Climate!$G$9,Climate!$D$9)&lt;=0,"·",IF(IF(GlobalGH,Climate!$I$9,Climate!$F$9)&gt;Crops!$M$7,"H",IF(IF(GlobalGH,Climate!$H$9,Climate!$E$9)&lt;Crops!$K$7,"C","O")))</f>
        <v>·</v>
      </c>
      <c r="G9" s="142" t="str">
        <f aca="false">IF(IF(GlobalGH,Climate!$G$10,Climate!$D$10)&lt;=0,"·",IF(IF(GlobalGH,Climate!$I$10,Climate!$F$10)&gt;Crops!$M$7,"H",IF(IF(GlobalGH,Climate!$H$10,Climate!$E$10)&lt;Crops!$K$7,"C","O")))</f>
        <v>·</v>
      </c>
      <c r="H9" s="142" t="str">
        <f aca="false">IF(IF(GlobalGH,Climate!$G$11,Climate!$D$11)&lt;=0,"·",IF(IF(GlobalGH,Climate!$I$11,Climate!$F$11)&gt;Crops!$M$7,"H",IF(IF(GlobalGH,Climate!$H$11,Climate!$E$11)&lt;Crops!$K$7,"C","O")))</f>
        <v>·</v>
      </c>
      <c r="I9" s="142" t="str">
        <f aca="false">IF(IF(GlobalGH,Climate!$G$12,Climate!$D$12)&lt;=0,"·",IF(IF(GlobalGH,Climate!$I$12,Climate!$F$12)&gt;Crops!$M$7,"H",IF(IF(GlobalGH,Climate!$H$12,Climate!$E$12)&lt;Crops!$K$7,"C","O")))</f>
        <v>·</v>
      </c>
      <c r="J9" s="142" t="str">
        <f aca="false">IF(IF(GlobalGH,Climate!$G$13,Climate!$D$13)&lt;=0,"·",IF(IF(GlobalGH,Climate!$I$13,Climate!$F$13)&gt;Crops!$M$7,"H",IF(IF(GlobalGH,Climate!$H$13,Climate!$E$13)&lt;Crops!$K$7,"C","O")))</f>
        <v>·</v>
      </c>
      <c r="K9" s="142" t="str">
        <f aca="false">IF(IF(GlobalGH,Climate!$G$14,Climate!$D$14)&lt;=0,"·",IF(IF(GlobalGH,Climate!$I$14,Climate!$F$14)&gt;Crops!$M$7,"H",IF(IF(GlobalGH,Climate!$H$14,Climate!$E$14)&lt;Crops!$K$7,"C","O")))</f>
        <v>·</v>
      </c>
      <c r="L9" s="142" t="str">
        <f aca="false">IF(IF(GlobalGH,Climate!$G$15,Climate!$D$15)&lt;=0,"·",IF(IF(GlobalGH,Climate!$I$15,Climate!$F$15)&gt;Crops!$M$7,"H",IF(IF(GlobalGH,Climate!$H$15,Climate!$E$15)&lt;Crops!$K$7,"C","O")))</f>
        <v>·</v>
      </c>
      <c r="M9" s="142" t="str">
        <f aca="false">IF(IF(GlobalGH,Climate!$G$16,Climate!$D$16)&lt;=0,"·",IF(IF(GlobalGH,Climate!$I$16,Climate!$F$16)&gt;Crops!$M$7,"H",IF(IF(GlobalGH,Climate!$H$16,Climate!$E$16)&lt;Crops!$K$7,"C","O")))</f>
        <v>·</v>
      </c>
      <c r="N9" s="142" t="str">
        <f aca="false">IF(IF(GlobalGH,Climate!$G$17,Climate!$D$17)&lt;=0,"·",IF(IF(GlobalGH,Climate!$I$17,Climate!$F$17)&gt;Crops!$M$7,"H",IF(IF(GlobalGH,Climate!$H$17,Climate!$E$17)&lt;Crops!$K$7,"C","O")))</f>
        <v>·</v>
      </c>
      <c r="O9" s="142" t="str">
        <f aca="false">IF(IF(GlobalGH,Climate!$G$18,Climate!$D$18)&lt;=0,"·",IF(IF(GlobalGH,Climate!$I$18,Climate!$F$18)&gt;Crops!$M$7,"H",IF(IF(GlobalGH,Climate!$H$18,Climate!$E$18)&lt;Crops!$K$7,"C","O")))</f>
        <v>·</v>
      </c>
      <c r="P9" s="142" t="str">
        <f aca="false">IF(IF(GlobalGH,Climate!$G$19,Climate!$D$19)&lt;=0,"·",IF(IF(GlobalGH,Climate!$I$19,Climate!$F$19)&gt;Crops!$M$7,"H",IF(IF(GlobalGH,Climate!$H$19,Climate!$E$19)&lt;Crops!$K$7,"C","O")))</f>
        <v>·</v>
      </c>
      <c r="Q9" s="142" t="str">
        <f aca="false">IF(IF(GlobalGH,Climate!$G$20,Climate!$D$20)&lt;=0,"·",IF(IF(GlobalGH,Climate!$I$20,Climate!$F$20)&gt;Crops!$M$7,"H",IF(IF(GlobalGH,Climate!$H$20,Climate!$E$20)&lt;Crops!$K$7,"C","O")))</f>
        <v>·</v>
      </c>
      <c r="R9" s="142" t="str">
        <f aca="false">IF(IF(GlobalGH,Climate!$G$21,Climate!$D$21)&lt;=0,"·",IF(IF(GlobalGH,Climate!$I$21,Climate!$F$21)&gt;Crops!$M$7,"H",IF(IF(GlobalGH,Climate!$H$21,Climate!$E$21)&lt;Crops!$K$7,"C","O")))</f>
        <v>·</v>
      </c>
      <c r="S9" s="142" t="str">
        <f aca="false">IF(IF(GlobalGH,Climate!$G$22,Climate!$D$22)&lt;=0,"·",IF(IF(GlobalGH,Climate!$I$22,Climate!$F$22)&gt;Crops!$M$7,"H",IF(IF(GlobalGH,Climate!$H$22,Climate!$E$22)&lt;Crops!$K$7,"C","O")))</f>
        <v>·</v>
      </c>
      <c r="T9" s="142" t="str">
        <f aca="false">IF(IF(GlobalGH,Climate!$G$23,Climate!$D$23)&lt;=0,"·",IF(IF(GlobalGH,Climate!$I$23,Climate!$F$23)&gt;Crops!$M$7,"H",IF(IF(GlobalGH,Climate!$H$23,Climate!$E$23)&lt;Crops!$K$7,"C","O")))</f>
        <v>·</v>
      </c>
      <c r="U9" s="142" t="str">
        <f aca="false">IF(IF(GlobalGH,Climate!$G$24,Climate!$D$24)&lt;=0,"·",IF(IF(GlobalGH,Climate!$I$24,Climate!$F$24)&gt;Crops!$M$7,"H",IF(IF(GlobalGH,Climate!$H$24,Climate!$E$24)&lt;Crops!$K$7,"C","O")))</f>
        <v>·</v>
      </c>
      <c r="V9" s="142" t="str">
        <f aca="false">IF(IF(GlobalGH,Climate!$G$25,Climate!$D$25)&lt;=0,"·",IF(IF(GlobalGH,Climate!$I$25,Climate!$F$25)&gt;Crops!$M$7,"H",IF(IF(GlobalGH,Climate!$H$25,Climate!$E$25)&lt;Crops!$K$7,"C","O")))</f>
        <v>·</v>
      </c>
      <c r="W9" s="142" t="str">
        <f aca="false">IF(IF(GlobalGH,Climate!$G$26,Climate!$D$26)&lt;=0,"·",IF(IF(GlobalGH,Climate!$I$26,Climate!$F$26)&gt;Crops!$M$7,"H",IF(IF(GlobalGH,Climate!$H$26,Climate!$E$26)&lt;Crops!$K$7,"C","O")))</f>
        <v>·</v>
      </c>
      <c r="X9" s="142" t="str">
        <f aca="false">IF(IF(GlobalGH,Climate!$G$27,Climate!$D$27)&lt;=0,"·",IF(IF(GlobalGH,Climate!$I$27,Climate!$F$27)&gt;Crops!$M$7,"H",IF(IF(GlobalGH,Climate!$H$27,Climate!$E$27)&lt;Crops!$K$7,"C","O")))</f>
        <v>·</v>
      </c>
      <c r="Y9" s="142" t="str">
        <f aca="false">IF(IF(GlobalGH,Climate!$G$28,Climate!$D$28)&lt;=0,"·",IF(IF(GlobalGH,Climate!$I$28,Climate!$F$28)&gt;Crops!$M$7,"H",IF(IF(GlobalGH,Climate!$H$28,Climate!$E$28)&lt;Crops!$K$7,"C","O")))</f>
        <v>·</v>
      </c>
      <c r="Z9" s="142" t="str">
        <f aca="false">IF(IF(GlobalGH,Climate!$G$29,Climate!$D$29)&lt;=0,"·",IF(IF(GlobalGH,Climate!$I$29,Climate!$F$29)&gt;Crops!$M$7,"H",IF(IF(GlobalGH,Climate!$H$29,Climate!$E$29)&lt;Crops!$K$7,"C","O")))</f>
        <v>·</v>
      </c>
      <c r="AA9" s="142" t="str">
        <f aca="false">IF(IF(GlobalGH,Climate!$G$30,Climate!$D$30)&lt;=0,"·",IF(IF(GlobalGH,Climate!$I$30,Climate!$F$30)&gt;Crops!$M$7,"H",IF(IF(GlobalGH,Climate!$H$30,Climate!$E$30)&lt;Crops!$K$7,"C","O")))</f>
        <v>·</v>
      </c>
      <c r="AB9" s="142" t="str">
        <f aca="false">IF(IF(GlobalGH,Climate!$G$31,Climate!$D$31)&lt;=0,"·",IF(IF(GlobalGH,Climate!$I$31,Climate!$F$31)&gt;Crops!$M$7,"H",IF(IF(GlobalGH,Climate!$H$31,Climate!$E$31)&lt;Crops!$K$7,"C","O")))</f>
        <v>·</v>
      </c>
      <c r="AC9" s="142" t="str">
        <f aca="false">IF(IF(GlobalGH,Climate!$G$32,Climate!$D$32)&lt;=0,"·",IF(IF(GlobalGH,Climate!$I$32,Climate!$F$32)&gt;Crops!$M$7,"H",IF(IF(GlobalGH,Climate!$H$32,Climate!$E$32)&lt;Crops!$K$7,"C","O")))</f>
        <v>·</v>
      </c>
      <c r="AD9" s="142" t="str">
        <f aca="false">IF(IF(GlobalGH,Climate!$G$33,Climate!$D$33)&lt;=0,"·",IF(IF(GlobalGH,Climate!$I$33,Climate!$F$33)&gt;Crops!$M$7,"H",IF(IF(GlobalGH,Climate!$H$33,Climate!$E$33)&lt;Crops!$K$7,"C","O")))</f>
        <v>·</v>
      </c>
      <c r="AE9" s="142" t="str">
        <f aca="false">IF(IF(GlobalGH,Climate!$G$34,Climate!$D$34)&lt;=0,"·",IF(IF(GlobalGH,Climate!$I$34,Climate!$F$34)&gt;Crops!$M$7,"H",IF(IF(GlobalGH,Climate!$H$34,Climate!$E$34)&lt;Crops!$K$7,"C","O")))</f>
        <v>·</v>
      </c>
      <c r="AF9" s="142" t="str">
        <f aca="false">IF(IF(GlobalGH,Climate!$G$35,Climate!$D$35)&lt;=0,"·",IF(IF(GlobalGH,Climate!$I$35,Climate!$F$35)&gt;Crops!$M$7,"H",IF(IF(GlobalGH,Climate!$H$35,Climate!$E$35)&lt;Crops!$K$7,"C","O")))</f>
        <v>·</v>
      </c>
      <c r="AG9" s="142" t="str">
        <f aca="false">IF(IF(GlobalGH,Climate!$G$36,Climate!$D$36)&lt;=0,"·",IF(IF(GlobalGH,Climate!$I$36,Climate!$F$36)&gt;Crops!$M$7,"H",IF(IF(GlobalGH,Climate!$H$36,Climate!$E$36)&lt;Crops!$K$7,"C","O")))</f>
        <v>·</v>
      </c>
      <c r="AH9" s="142" t="str">
        <f aca="false">IF(IF(GlobalGH,Climate!$G$37,Climate!$D$37)&lt;=0,"·",IF(IF(GlobalGH,Climate!$I$37,Climate!$F$37)&gt;Crops!$M$7,"H",IF(IF(GlobalGH,Climate!$H$37,Climate!$E$37)&lt;Crops!$K$7,"C","O")))</f>
        <v>·</v>
      </c>
      <c r="AI9" s="142" t="str">
        <f aca="false">IF(IF(GlobalGH,Climate!$G$38,Climate!$D$38)&lt;=0,"·",IF(IF(GlobalGH,Climate!$I$38,Climate!$F$38)&gt;Crops!$M$7,"H",IF(IF(GlobalGH,Climate!$H$38,Climate!$E$38)&lt;Crops!$K$7,"C","O")))</f>
        <v>O</v>
      </c>
      <c r="AJ9" s="142" t="str">
        <f aca="false">IF(IF(GlobalGH,Climate!$G$39,Climate!$D$39)&lt;=0,"·",IF(IF(GlobalGH,Climate!$I$39,Climate!$F$39)&gt;Crops!$M$7,"H",IF(IF(GlobalGH,Climate!$H$39,Climate!$E$39)&lt;Crops!$K$7,"C","O")))</f>
        <v>O</v>
      </c>
      <c r="AK9" s="142" t="str">
        <f aca="false">IF(IF(GlobalGH,Climate!$G$40,Climate!$D$40)&lt;=0,"·",IF(IF(GlobalGH,Climate!$I$40,Climate!$F$40)&gt;Crops!$M$7,"H",IF(IF(GlobalGH,Climate!$H$40,Climate!$E$40)&lt;Crops!$K$7,"C","O")))</f>
        <v>O</v>
      </c>
      <c r="AL9" s="142" t="str">
        <f aca="false">IF(IF(GlobalGH,Climate!$G$41,Climate!$D$41)&lt;=0,"·",IF(IF(GlobalGH,Climate!$I$41,Climate!$F$41)&gt;Crops!$M$7,"H",IF(IF(GlobalGH,Climate!$H$41,Climate!$E$41)&lt;Crops!$K$7,"C","O")))</f>
        <v>O</v>
      </c>
      <c r="AM9" s="142" t="str">
        <f aca="false">IF(IF(GlobalGH,Climate!$G$42,Climate!$D$42)&lt;=0,"·",IF(IF(GlobalGH,Climate!$I$42,Climate!$F$42)&gt;Crops!$M$7,"H",IF(IF(GlobalGH,Climate!$H$42,Climate!$E$42)&lt;Crops!$K$7,"C","O")))</f>
        <v>O</v>
      </c>
      <c r="AN9" s="142" t="str">
        <f aca="false">IF(IF(GlobalGH,Climate!$G$43,Climate!$D$43)&lt;=0,"·",IF(IF(GlobalGH,Climate!$I$43,Climate!$F$43)&gt;Crops!$M$7,"H",IF(IF(GlobalGH,Climate!$H$43,Climate!$E$43)&lt;Crops!$K$7,"C","O")))</f>
        <v>O</v>
      </c>
      <c r="AO9" s="142" t="str">
        <f aca="false">IF(IF(GlobalGH,Climate!$G$44,Climate!$D$44)&lt;=0,"·",IF(IF(GlobalGH,Climate!$I$44,Climate!$F$44)&gt;Crops!$M$7,"H",IF(IF(GlobalGH,Climate!$H$44,Climate!$E$44)&lt;Crops!$K$7,"C","O")))</f>
        <v>O</v>
      </c>
      <c r="AP9" s="142" t="str">
        <f aca="false">IF(IF(GlobalGH,Climate!$G$45,Climate!$D$45)&lt;=0,"·",IF(IF(GlobalGH,Climate!$I$45,Climate!$F$45)&gt;Crops!$M$7,"H",IF(IF(GlobalGH,Climate!$H$45,Climate!$E$45)&lt;Crops!$K$7,"C","O")))</f>
        <v>O</v>
      </c>
      <c r="AQ9" s="142" t="str">
        <f aca="false">IF(IF(GlobalGH,Climate!$G$46,Climate!$D$46)&lt;=0,"·",IF(IF(GlobalGH,Climate!$I$46,Climate!$F$46)&gt;Crops!$M$7,"H",IF(IF(GlobalGH,Climate!$H$46,Climate!$E$46)&lt;Crops!$K$7,"C","O")))</f>
        <v>O</v>
      </c>
      <c r="AR9" s="142" t="str">
        <f aca="false">IF(IF(GlobalGH,Climate!$G$47,Climate!$D$47)&lt;=0,"·",IF(IF(GlobalGH,Climate!$I$47,Climate!$F$47)&gt;Crops!$M$7,"H",IF(IF(GlobalGH,Climate!$H$47,Climate!$E$47)&lt;Crops!$K$7,"C","O")))</f>
        <v>O</v>
      </c>
      <c r="AS9" s="142" t="str">
        <f aca="false">IF(IF(GlobalGH,Climate!$G$48,Climate!$D$48)&lt;=0,"·",IF(IF(GlobalGH,Climate!$I$48,Climate!$F$48)&gt;Crops!$M$7,"H",IF(IF(GlobalGH,Climate!$H$48,Climate!$E$48)&lt;Crops!$K$7,"C","O")))</f>
        <v>O</v>
      </c>
      <c r="AT9" s="142" t="str">
        <f aca="false">IF(IF(GlobalGH,Climate!$G$49,Climate!$D$49)&lt;=0,"·",IF(IF(GlobalGH,Climate!$I$49,Climate!$F$49)&gt;Crops!$M$7,"H",IF(IF(GlobalGH,Climate!$H$49,Climate!$E$49)&lt;Crops!$K$7,"C","O")))</f>
        <v>O</v>
      </c>
      <c r="AU9" s="142" t="str">
        <f aca="false">IF(IF(GlobalGH,Climate!$G$50,Climate!$D$50)&lt;=0,"·",IF(IF(GlobalGH,Climate!$I$50,Climate!$F$50)&gt;Crops!$M$7,"H",IF(IF(GlobalGH,Climate!$H$50,Climate!$E$50)&lt;Crops!$K$7,"C","O")))</f>
        <v>O</v>
      </c>
      <c r="AV9" s="142" t="str">
        <f aca="false">IF(IF(GlobalGH,Climate!$G$51,Climate!$D$51)&lt;=0,"·",IF(IF(GlobalGH,Climate!$I$51,Climate!$F$51)&gt;Crops!$M$7,"H",IF(IF(GlobalGH,Climate!$H$51,Climate!$E$51)&lt;Crops!$K$7,"C","O")))</f>
        <v>O</v>
      </c>
      <c r="AW9" s="142" t="str">
        <f aca="false">IF(IF(GlobalGH,Climate!$G$52,Climate!$D$52)&lt;=0,"·",IF(IF(GlobalGH,Climate!$I$52,Climate!$F$52)&gt;Crops!$M$7,"H",IF(IF(GlobalGH,Climate!$H$52,Climate!$E$52)&lt;Crops!$K$7,"C","O")))</f>
        <v>O</v>
      </c>
      <c r="AX9" s="142" t="str">
        <f aca="false">IF(IF(GlobalGH,Climate!$G$53,Climate!$D$53)&lt;=0,"·",IF(IF(GlobalGH,Climate!$I$53,Climate!$F$53)&gt;Crops!$M$7,"H",IF(IF(GlobalGH,Climate!$H$53,Climate!$E$53)&lt;Crops!$K$7,"C","O")))</f>
        <v>O</v>
      </c>
      <c r="AY9" s="142" t="str">
        <f aca="false">IF(IF(GlobalGH,Climate!$G$54,Climate!$D$54)&lt;=0,"·",IF(IF(GlobalGH,Climate!$I$54,Climate!$F$54)&gt;Crops!$M$7,"H",IF(IF(GlobalGH,Climate!$H$54,Climate!$E$54)&lt;Crops!$K$7,"C","O")))</f>
        <v>O</v>
      </c>
      <c r="AZ9" s="142" t="str">
        <f aca="false">IF(IF(GlobalGH,Climate!$G$55,Climate!$D$55)&lt;=0,"·",IF(IF(GlobalGH,Climate!$I$55,Climate!$F$55)&gt;Crops!$M$7,"H",IF(IF(GlobalGH,Climate!$H$55,Climate!$E$55)&lt;Crops!$K$7,"C","O")))</f>
        <v>O</v>
      </c>
      <c r="BA9" s="142" t="str">
        <f aca="false">IF(IF(GlobalGH,Climate!$G$56,Climate!$D$56)&lt;=0,"·",IF(IF(GlobalGH,Climate!$I$56,Climate!$F$56)&gt;Crops!$M$7,"H",IF(IF(GlobalGH,Climate!$H$56,Climate!$E$56)&lt;Crops!$K$7,"C","O")))</f>
        <v>O</v>
      </c>
      <c r="BB9" s="142" t="str">
        <f aca="false">IF(IF(GlobalGH,Climate!$G$57,Climate!$D$57)&lt;=0,"·",IF(IF(GlobalGH,Climate!$I$57,Climate!$F$57)&gt;Crops!$M$7,"H",IF(IF(GlobalGH,Climate!$H$57,Climate!$E$57)&lt;Crops!$K$7,"C","O")))</f>
        <v>O</v>
      </c>
      <c r="BC9" s="142" t="str">
        <f aca="false">IF(IF(GlobalGH,Climate!$G$58,Climate!$D$58)&lt;=0,"·",IF(IF(GlobalGH,Climate!$I$58,Climate!$F$58)&gt;Crops!$M$7,"H",IF(IF(GlobalGH,Climate!$H$58,Climate!$E$58)&lt;Crops!$K$7,"C","O")))</f>
        <v>O</v>
      </c>
      <c r="BD9" s="142" t="str">
        <f aca="false">IF(IF(GlobalGH,Climate!$G$59,Climate!$D$59)&lt;=0,"·",IF(IF(GlobalGH,Climate!$I$59,Climate!$F$59)&gt;Crops!$M$7,"H",IF(IF(GlobalGH,Climate!$H$59,Climate!$E$59)&lt;Crops!$K$7,"C","O")))</f>
        <v>O</v>
      </c>
      <c r="BE9" s="142" t="str">
        <f aca="false">IF(IF(GlobalGH,Climate!$G$60,Climate!$D$60)&lt;=0,"·",IF(IF(GlobalGH,Climate!$I$60,Climate!$F$60)&gt;Crops!$M$7,"H",IF(IF(GlobalGH,Climate!$H$60,Climate!$E$60)&lt;Crops!$K$7,"C","O")))</f>
        <v>O</v>
      </c>
      <c r="BF9" s="142" t="str">
        <f aca="false">IF(IF(GlobalGH,Climate!$G$61,Climate!$D$61)&lt;=0,"·",IF(IF(GlobalGH,Climate!$I$61,Climate!$F$61)&gt;Crops!$M$7,"H",IF(IF(GlobalGH,Climate!$H$61,Climate!$E$61)&lt;Crops!$K$7,"C","O")))</f>
        <v>O</v>
      </c>
      <c r="BG9" s="142" t="str">
        <f aca="false">IF(IF(GlobalGH,Climate!$G$62,Climate!$D$62)&lt;=0,"·",IF(IF(GlobalGH,Climate!$I$62,Climate!$F$62)&gt;Crops!$M$7,"H",IF(IF(GlobalGH,Climate!$H$62,Climate!$E$62)&lt;Crops!$K$7,"C","O")))</f>
        <v>O</v>
      </c>
      <c r="BH9" s="142" t="str">
        <f aca="false">IF(IF(GlobalGH,Climate!$G$63,Climate!$D$63)&lt;=0,"·",IF(IF(GlobalGH,Climate!$I$63,Climate!$F$63)&gt;Crops!$M$7,"H",IF(IF(GlobalGH,Climate!$H$63,Climate!$E$63)&lt;Crops!$K$7,"C","O")))</f>
        <v>O</v>
      </c>
      <c r="BI9" s="142" t="str">
        <f aca="false">IF(IF(GlobalGH,Climate!$G$64,Climate!$D$64)&lt;=0,"·",IF(IF(GlobalGH,Climate!$I$64,Climate!$F$64)&gt;Crops!$M$7,"H",IF(IF(GlobalGH,Climate!$H$64,Climate!$E$64)&lt;Crops!$K$7,"C","O")))</f>
        <v>O</v>
      </c>
      <c r="BJ9" s="142" t="str">
        <f aca="false">IF(IF(GlobalGH,Climate!$G$65,Climate!$D$65)&lt;=0,"·",IF(IF(GlobalGH,Climate!$I$65,Climate!$F$65)&gt;Crops!$M$7,"H",IF(IF(GlobalGH,Climate!$H$65,Climate!$E$65)&lt;Crops!$K$7,"C","O")))</f>
        <v>O</v>
      </c>
      <c r="BK9" s="142" t="str">
        <f aca="false">IF(IF(GlobalGH,Climate!$G$66,Climate!$D$66)&lt;=0,"·",IF(IF(GlobalGH,Climate!$I$66,Climate!$F$66)&gt;Crops!$M$7,"H",IF(IF(GlobalGH,Climate!$H$66,Climate!$E$66)&lt;Crops!$K$7,"C","O")))</f>
        <v>O</v>
      </c>
      <c r="BL9" s="142" t="str">
        <f aca="false">IF(IF(GlobalGH,Climate!$G$67,Climate!$D$67)&lt;=0,"·",IF(IF(GlobalGH,Climate!$I$67,Climate!$F$67)&gt;Crops!$M$7,"H",IF(IF(GlobalGH,Climate!$H$67,Climate!$E$67)&lt;Crops!$K$7,"C","O")))</f>
        <v>O</v>
      </c>
      <c r="BM9" s="142" t="str">
        <f aca="false">IF(IF(GlobalGH,Climate!$G$68,Climate!$D$68)&lt;=0,"·",IF(IF(GlobalGH,Climate!$I$68,Climate!$F$68)&gt;Crops!$M$7,"H",IF(IF(GlobalGH,Climate!$H$68,Climate!$E$68)&lt;Crops!$K$7,"C","O")))</f>
        <v>O</v>
      </c>
      <c r="BN9" s="142" t="str">
        <f aca="false">IF(IF(GlobalGH,Climate!$G$69,Climate!$D$69)&lt;=0,"·",IF(IF(GlobalGH,Climate!$I$69,Climate!$F$69)&gt;Crops!$M$7,"H",IF(IF(GlobalGH,Climate!$H$69,Climate!$E$69)&lt;Crops!$K$7,"C","O")))</f>
        <v>O</v>
      </c>
      <c r="BO9" s="142" t="str">
        <f aca="false">IF(IF(GlobalGH,Climate!$G$70,Climate!$D$70)&lt;=0,"·",IF(IF(GlobalGH,Climate!$I$70,Climate!$F$70)&gt;Crops!$M$7,"H",IF(IF(GlobalGH,Climate!$H$70,Climate!$E$70)&lt;Crops!$K$7,"C","O")))</f>
        <v>O</v>
      </c>
      <c r="BP9" s="142" t="str">
        <f aca="false">IF(IF(GlobalGH,Climate!$G$71,Climate!$D$71)&lt;=0,"·",IF(IF(GlobalGH,Climate!$I$71,Climate!$F$71)&gt;Crops!$M$7,"H",IF(IF(GlobalGH,Climate!$H$71,Climate!$E$71)&lt;Crops!$K$7,"C","O")))</f>
        <v>O</v>
      </c>
      <c r="BQ9" s="142" t="str">
        <f aca="false">IF(IF(GlobalGH,Climate!$G$72,Climate!$D$72)&lt;=0,"·",IF(IF(GlobalGH,Climate!$I$72,Climate!$F$72)&gt;Crops!$M$7,"H",IF(IF(GlobalGH,Climate!$H$72,Climate!$E$72)&lt;Crops!$K$7,"C","O")))</f>
        <v>O</v>
      </c>
      <c r="BR9" s="142" t="str">
        <f aca="false">IF(IF(GlobalGH,Climate!$G$73,Climate!$D$73)&lt;=0,"·",IF(IF(GlobalGH,Climate!$I$73,Climate!$F$73)&gt;Crops!$M$7,"H",IF(IF(GlobalGH,Climate!$H$73,Climate!$E$73)&lt;Crops!$K$7,"C","O")))</f>
        <v>O</v>
      </c>
      <c r="BS9" s="142" t="str">
        <f aca="false">IF(IF(GlobalGH,Climate!$G$74,Climate!$D$74)&lt;=0,"·",IF(IF(GlobalGH,Climate!$I$74,Climate!$F$74)&gt;Crops!$M$7,"H",IF(IF(GlobalGH,Climate!$H$74,Climate!$E$74)&lt;Crops!$K$7,"C","O")))</f>
        <v>O</v>
      </c>
      <c r="BT9" s="142" t="str">
        <f aca="false">IF(IF(GlobalGH,Climate!$G$75,Climate!$D$75)&lt;=0,"·",IF(IF(GlobalGH,Climate!$I$75,Climate!$F$75)&gt;Crops!$M$7,"H",IF(IF(GlobalGH,Climate!$H$75,Climate!$E$75)&lt;Crops!$K$7,"C","O")))</f>
        <v>O</v>
      </c>
      <c r="BU9" s="142" t="str">
        <f aca="false">IF(IF(GlobalGH,Climate!$G$76,Climate!$D$76)&lt;=0,"·",IF(IF(GlobalGH,Climate!$I$76,Climate!$F$76)&gt;Crops!$M$7,"H",IF(IF(GlobalGH,Climate!$H$76,Climate!$E$76)&lt;Crops!$K$7,"C","O")))</f>
        <v>O</v>
      </c>
      <c r="BV9" s="142" t="str">
        <f aca="false">IF(IF(GlobalGH,Climate!$G$77,Climate!$D$77)&lt;=0,"·",IF(IF(GlobalGH,Climate!$I$77,Climate!$F$77)&gt;Crops!$M$7,"H",IF(IF(GlobalGH,Climate!$H$77,Climate!$E$77)&lt;Crops!$K$7,"C","O")))</f>
        <v>O</v>
      </c>
      <c r="BW9" s="142" t="str">
        <f aca="false">IF(IF(GlobalGH,Climate!$G$78,Climate!$D$78)&lt;=0,"·",IF(IF(GlobalGH,Climate!$I$78,Climate!$F$78)&gt;Crops!$M$7,"H",IF(IF(GlobalGH,Climate!$H$78,Climate!$E$78)&lt;Crops!$K$7,"C","O")))</f>
        <v>O</v>
      </c>
      <c r="BX9" s="142" t="str">
        <f aca="false">IF(IF(GlobalGH,Climate!$G$79,Climate!$D$79)&lt;=0,"·",IF(IF(GlobalGH,Climate!$I$79,Climate!$F$79)&gt;Crops!$M$7,"H",IF(IF(GlobalGH,Climate!$H$79,Climate!$E$79)&lt;Crops!$K$7,"C","O")))</f>
        <v>O</v>
      </c>
      <c r="BY9" s="142" t="str">
        <f aca="false">IF(IF(GlobalGH,Climate!$G$80,Climate!$D$80)&lt;=0,"·",IF(IF(GlobalGH,Climate!$I$80,Climate!$F$80)&gt;Crops!$M$7,"H",IF(IF(GlobalGH,Climate!$H$80,Climate!$E$80)&lt;Crops!$K$7,"C","O")))</f>
        <v>O</v>
      </c>
      <c r="BZ9" s="142" t="str">
        <f aca="false">IF(IF(GlobalGH,Climate!$G$81,Climate!$D$81)&lt;=0,"·",IF(IF(GlobalGH,Climate!$I$81,Climate!$F$81)&gt;Crops!$M$7,"H",IF(IF(GlobalGH,Climate!$H$81,Climate!$E$81)&lt;Crops!$K$7,"C","O")))</f>
        <v>O</v>
      </c>
      <c r="CA9" s="142" t="str">
        <f aca="false">IF(IF(GlobalGH,Climate!$G$82,Climate!$D$82)&lt;=0,"·",IF(IF(GlobalGH,Climate!$I$82,Climate!$F$82)&gt;Crops!$M$7,"H",IF(IF(GlobalGH,Climate!$H$82,Climate!$E$82)&lt;Crops!$K$7,"C","O")))</f>
        <v>O</v>
      </c>
      <c r="CB9" s="142" t="str">
        <f aca="false">IF(IF(GlobalGH,Climate!$G$83,Climate!$D$83)&lt;=0,"·",IF(IF(GlobalGH,Climate!$I$83,Climate!$F$83)&gt;Crops!$M$7,"H",IF(IF(GlobalGH,Climate!$H$83,Climate!$E$83)&lt;Crops!$K$7,"C","O")))</f>
        <v>O</v>
      </c>
      <c r="CC9" s="142" t="str">
        <f aca="false">IF(IF(GlobalGH,Climate!$G$84,Climate!$D$84)&lt;=0,"·",IF(IF(GlobalGH,Climate!$I$84,Climate!$F$84)&gt;Crops!$M$7,"H",IF(IF(GlobalGH,Climate!$H$84,Climate!$E$84)&lt;Crops!$K$7,"C","O")))</f>
        <v>O</v>
      </c>
      <c r="CD9" s="142" t="str">
        <f aca="false">IF(IF(GlobalGH,Climate!$G$85,Climate!$D$85)&lt;=0,"·",IF(IF(GlobalGH,Climate!$I$85,Climate!$F$85)&gt;Crops!$M$7,"H",IF(IF(GlobalGH,Climate!$H$85,Climate!$E$85)&lt;Crops!$K$7,"C","O")))</f>
        <v>O</v>
      </c>
      <c r="CE9" s="142" t="str">
        <f aca="false">IF(IF(GlobalGH,Climate!$G$86,Climate!$D$86)&lt;=0,"·",IF(IF(GlobalGH,Climate!$I$86,Climate!$F$86)&gt;Crops!$M$7,"H",IF(IF(GlobalGH,Climate!$H$86,Climate!$E$86)&lt;Crops!$K$7,"C","O")))</f>
        <v>O</v>
      </c>
      <c r="CF9" s="142" t="str">
        <f aca="false">IF(IF(GlobalGH,Climate!$G$87,Climate!$D$87)&lt;=0,"·",IF(IF(GlobalGH,Climate!$I$87,Climate!$F$87)&gt;Crops!$M$7,"H",IF(IF(GlobalGH,Climate!$H$87,Climate!$E$87)&lt;Crops!$K$7,"C","O")))</f>
        <v>O</v>
      </c>
      <c r="CG9" s="142" t="str">
        <f aca="false">IF(IF(GlobalGH,Climate!$G$88,Climate!$D$88)&lt;=0,"·",IF(IF(GlobalGH,Climate!$I$88,Climate!$F$88)&gt;Crops!$M$7,"H",IF(IF(GlobalGH,Climate!$H$88,Climate!$E$88)&lt;Crops!$K$7,"C","O")))</f>
        <v>·</v>
      </c>
      <c r="CH9" s="142" t="str">
        <f aca="false">IF(IF(GlobalGH,Climate!$G$89,Climate!$D$89)&lt;=0,"·",IF(IF(GlobalGH,Climate!$I$89,Climate!$F$89)&gt;Crops!$M$7,"H",IF(IF(GlobalGH,Climate!$H$89,Climate!$E$89)&lt;Crops!$K$7,"C","O")))</f>
        <v>·</v>
      </c>
      <c r="CI9" s="142" t="str">
        <f aca="false">IF(IF(GlobalGH,Climate!$G$90,Climate!$D$90)&lt;=0,"·",IF(IF(GlobalGH,Climate!$I$90,Climate!$F$90)&gt;Crops!$M$7,"H",IF(IF(GlobalGH,Climate!$H$90,Climate!$E$90)&lt;Crops!$K$7,"C","O")))</f>
        <v>·</v>
      </c>
      <c r="CJ9" s="142" t="str">
        <f aca="false">IF(IF(GlobalGH,Climate!$G$91,Climate!$D$91)&lt;=0,"·",IF(IF(GlobalGH,Climate!$I$91,Climate!$F$91)&gt;Crops!$M$7,"H",IF(IF(GlobalGH,Climate!$H$91,Climate!$E$91)&lt;Crops!$K$7,"C","O")))</f>
        <v>·</v>
      </c>
      <c r="CK9" s="142" t="str">
        <f aca="false">IF(IF(GlobalGH,Climate!$G$92,Climate!$D$92)&lt;=0,"·",IF(IF(GlobalGH,Climate!$I$92,Climate!$F$92)&gt;Crops!$M$7,"H",IF(IF(GlobalGH,Climate!$H$92,Climate!$E$92)&lt;Crops!$K$7,"C","O")))</f>
        <v>·</v>
      </c>
      <c r="CL9" s="142" t="str">
        <f aca="false">IF(IF(GlobalGH,Climate!$G$93,Climate!$D$93)&lt;=0,"·",IF(IF(GlobalGH,Climate!$I$93,Climate!$F$93)&gt;Crops!$M$7,"H",IF(IF(GlobalGH,Climate!$H$93,Climate!$E$93)&lt;Crops!$K$7,"C","O")))</f>
        <v>·</v>
      </c>
      <c r="CM9" s="142" t="str">
        <f aca="false">IF(IF(GlobalGH,Climate!$G$94,Climate!$D$94)&lt;=0,"·",IF(IF(GlobalGH,Climate!$I$94,Climate!$F$94)&gt;Crops!$M$7,"H",IF(IF(GlobalGH,Climate!$H$94,Climate!$E$94)&lt;Crops!$K$7,"C","O")))</f>
        <v>·</v>
      </c>
      <c r="CN9" s="142" t="str">
        <f aca="false">IF(IF(GlobalGH,Climate!$G$95,Climate!$D$95)&lt;=0,"·",IF(IF(GlobalGH,Climate!$I$95,Climate!$F$95)&gt;Crops!$M$7,"H",IF(IF(GlobalGH,Climate!$H$95,Climate!$E$95)&lt;Crops!$K$7,"C","O")))</f>
        <v>·</v>
      </c>
      <c r="CO9" s="142" t="str">
        <f aca="false">IF(IF(GlobalGH,Climate!$G$96,Climate!$D$96)&lt;=0,"·",IF(IF(GlobalGH,Climate!$I$96,Climate!$F$96)&gt;Crops!$M$7,"H",IF(IF(GlobalGH,Climate!$H$96,Climate!$E$96)&lt;Crops!$K$7,"C","O")))</f>
        <v>·</v>
      </c>
      <c r="CP9" s="142" t="str">
        <f aca="false">IF(IF(GlobalGH,Climate!$G$97,Climate!$D$97)&lt;=0,"·",IF(IF(GlobalGH,Climate!$I$97,Climate!$F$97)&gt;Crops!$M$7,"H",IF(IF(GlobalGH,Climate!$H$97,Climate!$E$97)&lt;Crops!$K$7,"C","O")))</f>
        <v>·</v>
      </c>
      <c r="CQ9" s="142" t="str">
        <f aca="false">IF(IF(GlobalGH,Climate!$G$98,Climate!$D$98)&lt;=0,"·",IF(IF(GlobalGH,Climate!$I$98,Climate!$F$98)&gt;Crops!$M$7,"H",IF(IF(GlobalGH,Climate!$H$98,Climate!$E$98)&lt;Crops!$K$7,"C","O")))</f>
        <v>·</v>
      </c>
      <c r="CR9" s="142" t="str">
        <f aca="false">IF(IF(GlobalGH,Climate!$G$99,Climate!$D$99)&lt;=0,"·",IF(IF(GlobalGH,Climate!$I$99,Climate!$F$99)&gt;Crops!$M$7,"H",IF(IF(GlobalGH,Climate!$H$99,Climate!$E$99)&lt;Crops!$K$7,"C","O")))</f>
        <v>·</v>
      </c>
      <c r="CS9" s="142" t="str">
        <f aca="false">IF(IF(GlobalGH,Climate!$G$100,Climate!$D$100)&lt;=0,"·",IF(IF(GlobalGH,Climate!$I$100,Climate!$F$100)&gt;Crops!$M$7,"H",IF(IF(GlobalGH,Climate!$H$100,Climate!$E$100)&lt;Crops!$K$7,"C","O")))</f>
        <v>·</v>
      </c>
      <c r="CT9" s="142" t="str">
        <f aca="false">IF(IF(GlobalGH,Climate!$G$101,Climate!$D$101)&lt;=0,"·",IF(IF(GlobalGH,Climate!$I$101,Climate!$F$101)&gt;Crops!$M$7,"H",IF(IF(GlobalGH,Climate!$H$101,Climate!$E$101)&lt;Crops!$K$7,"C","O")))</f>
        <v>·</v>
      </c>
      <c r="CU9" s="142" t="str">
        <f aca="false">IF(IF(GlobalGH,Climate!$G$102,Climate!$D$102)&lt;=0,"·",IF(IF(GlobalGH,Climate!$I$102,Climate!$F$102)&gt;Crops!$M$7,"H",IF(IF(GlobalGH,Climate!$H$102,Climate!$E$102)&lt;Crops!$K$7,"C","O")))</f>
        <v>·</v>
      </c>
      <c r="CV9" s="142" t="str">
        <f aca="false">IF(IF(GlobalGH,Climate!$G$103,Climate!$D$103)&lt;=0,"·",IF(IF(GlobalGH,Climate!$I$103,Climate!$F$103)&gt;Crops!$M$7,"H",IF(IF(GlobalGH,Climate!$H$103,Climate!$E$103)&lt;Crops!$K$7,"C","O")))</f>
        <v>·</v>
      </c>
      <c r="CW9" s="142" t="str">
        <f aca="false">IF(IF(GlobalGH,Climate!$G$104,Climate!$D$104)&lt;=0,"·",IF(IF(GlobalGH,Climate!$I$104,Climate!$F$104)&gt;Crops!$M$7,"H",IF(IF(GlobalGH,Climate!$H$104,Climate!$E$104)&lt;Crops!$K$7,"C","O")))</f>
        <v>·</v>
      </c>
      <c r="CX9" s="142" t="str">
        <f aca="false">IF(IF(GlobalGH,Climate!$G$105,Climate!$D$105)&lt;=0,"·",IF(IF(GlobalGH,Climate!$I$105,Climate!$F$105)&gt;Crops!$M$7,"H",IF(IF(GlobalGH,Climate!$H$105,Climate!$E$105)&lt;Crops!$K$7,"C","O")))</f>
        <v>·</v>
      </c>
      <c r="CY9" s="142" t="str">
        <f aca="false">IF(IF(GlobalGH,Climate!$G$106,Climate!$D$106)&lt;=0,"·",IF(IF(GlobalGH,Climate!$I$106,Climate!$F$106)&gt;Crops!$M$7,"H",IF(IF(GlobalGH,Climate!$H$106,Climate!$E$106)&lt;Crops!$K$7,"C","O")))</f>
        <v>·</v>
      </c>
      <c r="CZ9" s="142" t="str">
        <f aca="false">IF(IF(GlobalGH,Climate!$G$107,Climate!$D$107)&lt;=0,"·",IF(IF(GlobalGH,Climate!$I$107,Climate!$F$107)&gt;Crops!$M$7,"H",IF(IF(GlobalGH,Climate!$H$107,Climate!$E$107)&lt;Crops!$K$7,"C","O")))</f>
        <v>·</v>
      </c>
      <c r="DA9" s="142" t="str">
        <f aca="false">IF(IF(GlobalGH,Climate!$G$108,Climate!$D$108)&lt;=0,"·",IF(IF(GlobalGH,Climate!$I$108,Climate!$F$108)&gt;Crops!$M$7,"H",IF(IF(GlobalGH,Climate!$H$108,Climate!$E$108)&lt;Crops!$K$7,"C","O")))</f>
        <v>·</v>
      </c>
      <c r="DB9" s="142" t="str">
        <f aca="false">IF(IF(GlobalGH,Climate!$G$109,Climate!$D$109)&lt;=0,"·",IF(IF(GlobalGH,Climate!$I$109,Climate!$F$109)&gt;Crops!$M$7,"H",IF(IF(GlobalGH,Climate!$H$109,Climate!$E$109)&lt;Crops!$K$7,"C","O")))</f>
        <v>·</v>
      </c>
      <c r="DC9" s="142" t="str">
        <f aca="false">IF(IF(GlobalGH,Climate!$G$110,Climate!$D$110)&lt;=0,"·",IF(IF(GlobalGH,Climate!$I$110,Climate!$F$110)&gt;Crops!$M$7,"H",IF(IF(GlobalGH,Climate!$H$110,Climate!$E$110)&lt;Crops!$K$7,"C","O")))</f>
        <v>·</v>
      </c>
      <c r="DD9" s="142" t="str">
        <f aca="false">IF(IF(GlobalGH,Climate!$G$111,Climate!$D$111)&lt;=0,"·",IF(IF(GlobalGH,Climate!$I$111,Climate!$F$111)&gt;Crops!$M$7,"H",IF(IF(GlobalGH,Climate!$H$111,Climate!$E$111)&lt;Crops!$K$7,"C","O")))</f>
        <v>·</v>
      </c>
      <c r="DE9" s="142" t="str">
        <f aca="false">IF(IF(GlobalGH,Climate!$G$112,Climate!$D$112)&lt;=0,"·",IF(IF(GlobalGH,Climate!$I$112,Climate!$F$112)&gt;Crops!$M$7,"H",IF(IF(GlobalGH,Climate!$H$112,Climate!$E$112)&lt;Crops!$K$7,"C","O")))</f>
        <v>·</v>
      </c>
      <c r="DF9" s="143" t="n">
        <f aca="false">COUNTIF(B9:DE9,"O")</f>
        <v>50</v>
      </c>
      <c r="DG9" s="139" t="s">
        <v>421</v>
      </c>
    </row>
    <row r="10" customFormat="false" ht="15" hidden="false" customHeight="true" outlineLevel="0" collapsed="false">
      <c r="A10" s="144" t="str">
        <f aca="false">Crops!$B$8</f>
        <v>Fennel</v>
      </c>
      <c r="B10" s="142" t="str">
        <f aca="false">IF(IF(GlobalGH,Climate!$G$5,Climate!$D$5)&lt;=0,"·",IF(IF(GlobalGH,Climate!$I$5,Climate!$F$5)&gt;Crops!$M$8,"H",IF(IF(GlobalGH,Climate!$H$5,Climate!$E$5)&lt;Crops!$K$8,"C","O")))</f>
        <v>·</v>
      </c>
      <c r="C10" s="142" t="str">
        <f aca="false">IF(IF(GlobalGH,Climate!$G$6,Climate!$D$6)&lt;=0,"·",IF(IF(GlobalGH,Climate!$I$6,Climate!$F$6)&gt;Crops!$M$8,"H",IF(IF(GlobalGH,Climate!$H$6,Climate!$E$6)&lt;Crops!$K$8,"C","O")))</f>
        <v>·</v>
      </c>
      <c r="D10" s="142" t="str">
        <f aca="false">IF(IF(GlobalGH,Climate!$G$7,Climate!$D$7)&lt;=0,"·",IF(IF(GlobalGH,Climate!$I$7,Climate!$F$7)&gt;Crops!$M$8,"H",IF(IF(GlobalGH,Climate!$H$7,Climate!$E$7)&lt;Crops!$K$8,"C","O")))</f>
        <v>·</v>
      </c>
      <c r="E10" s="142" t="str">
        <f aca="false">IF(IF(GlobalGH,Climate!$G$8,Climate!$D$8)&lt;=0,"·",IF(IF(GlobalGH,Climate!$I$8,Climate!$F$8)&gt;Crops!$M$8,"H",IF(IF(GlobalGH,Climate!$H$8,Climate!$E$8)&lt;Crops!$K$8,"C","O")))</f>
        <v>·</v>
      </c>
      <c r="F10" s="142" t="str">
        <f aca="false">IF(IF(GlobalGH,Climate!$G$9,Climate!$D$9)&lt;=0,"·",IF(IF(GlobalGH,Climate!$I$9,Climate!$F$9)&gt;Crops!$M$8,"H",IF(IF(GlobalGH,Climate!$H$9,Climate!$E$9)&lt;Crops!$K$8,"C","O")))</f>
        <v>·</v>
      </c>
      <c r="G10" s="142" t="str">
        <f aca="false">IF(IF(GlobalGH,Climate!$G$10,Climate!$D$10)&lt;=0,"·",IF(IF(GlobalGH,Climate!$I$10,Climate!$F$10)&gt;Crops!$M$8,"H",IF(IF(GlobalGH,Climate!$H$10,Climate!$E$10)&lt;Crops!$K$8,"C","O")))</f>
        <v>·</v>
      </c>
      <c r="H10" s="142" t="str">
        <f aca="false">IF(IF(GlobalGH,Climate!$G$11,Climate!$D$11)&lt;=0,"·",IF(IF(GlobalGH,Climate!$I$11,Climate!$F$11)&gt;Crops!$M$8,"H",IF(IF(GlobalGH,Climate!$H$11,Climate!$E$11)&lt;Crops!$K$8,"C","O")))</f>
        <v>·</v>
      </c>
      <c r="I10" s="142" t="str">
        <f aca="false">IF(IF(GlobalGH,Climate!$G$12,Climate!$D$12)&lt;=0,"·",IF(IF(GlobalGH,Climate!$I$12,Climate!$F$12)&gt;Crops!$M$8,"H",IF(IF(GlobalGH,Climate!$H$12,Climate!$E$12)&lt;Crops!$K$8,"C","O")))</f>
        <v>·</v>
      </c>
      <c r="J10" s="142" t="str">
        <f aca="false">IF(IF(GlobalGH,Climate!$G$13,Climate!$D$13)&lt;=0,"·",IF(IF(GlobalGH,Climate!$I$13,Climate!$F$13)&gt;Crops!$M$8,"H",IF(IF(GlobalGH,Climate!$H$13,Climate!$E$13)&lt;Crops!$K$8,"C","O")))</f>
        <v>·</v>
      </c>
      <c r="K10" s="142" t="str">
        <f aca="false">IF(IF(GlobalGH,Climate!$G$14,Climate!$D$14)&lt;=0,"·",IF(IF(GlobalGH,Climate!$I$14,Climate!$F$14)&gt;Crops!$M$8,"H",IF(IF(GlobalGH,Climate!$H$14,Climate!$E$14)&lt;Crops!$K$8,"C","O")))</f>
        <v>·</v>
      </c>
      <c r="L10" s="142" t="str">
        <f aca="false">IF(IF(GlobalGH,Climate!$G$15,Climate!$D$15)&lt;=0,"·",IF(IF(GlobalGH,Climate!$I$15,Climate!$F$15)&gt;Crops!$M$8,"H",IF(IF(GlobalGH,Climate!$H$15,Climate!$E$15)&lt;Crops!$K$8,"C","O")))</f>
        <v>·</v>
      </c>
      <c r="M10" s="142" t="str">
        <f aca="false">IF(IF(GlobalGH,Climate!$G$16,Climate!$D$16)&lt;=0,"·",IF(IF(GlobalGH,Climate!$I$16,Climate!$F$16)&gt;Crops!$M$8,"H",IF(IF(GlobalGH,Climate!$H$16,Climate!$E$16)&lt;Crops!$K$8,"C","O")))</f>
        <v>·</v>
      </c>
      <c r="N10" s="142" t="str">
        <f aca="false">IF(IF(GlobalGH,Climate!$G$17,Climate!$D$17)&lt;=0,"·",IF(IF(GlobalGH,Climate!$I$17,Climate!$F$17)&gt;Crops!$M$8,"H",IF(IF(GlobalGH,Climate!$H$17,Climate!$E$17)&lt;Crops!$K$8,"C","O")))</f>
        <v>·</v>
      </c>
      <c r="O10" s="142" t="str">
        <f aca="false">IF(IF(GlobalGH,Climate!$G$18,Climate!$D$18)&lt;=0,"·",IF(IF(GlobalGH,Climate!$I$18,Climate!$F$18)&gt;Crops!$M$8,"H",IF(IF(GlobalGH,Climate!$H$18,Climate!$E$18)&lt;Crops!$K$8,"C","O")))</f>
        <v>·</v>
      </c>
      <c r="P10" s="142" t="str">
        <f aca="false">IF(IF(GlobalGH,Climate!$G$19,Climate!$D$19)&lt;=0,"·",IF(IF(GlobalGH,Climate!$I$19,Climate!$F$19)&gt;Crops!$M$8,"H",IF(IF(GlobalGH,Climate!$H$19,Climate!$E$19)&lt;Crops!$K$8,"C","O")))</f>
        <v>·</v>
      </c>
      <c r="Q10" s="142" t="str">
        <f aca="false">IF(IF(GlobalGH,Climate!$G$20,Climate!$D$20)&lt;=0,"·",IF(IF(GlobalGH,Climate!$I$20,Climate!$F$20)&gt;Crops!$M$8,"H",IF(IF(GlobalGH,Climate!$H$20,Climate!$E$20)&lt;Crops!$K$8,"C","O")))</f>
        <v>·</v>
      </c>
      <c r="R10" s="142" t="str">
        <f aca="false">IF(IF(GlobalGH,Climate!$G$21,Climate!$D$21)&lt;=0,"·",IF(IF(GlobalGH,Climate!$I$21,Climate!$F$21)&gt;Crops!$M$8,"H",IF(IF(GlobalGH,Climate!$H$21,Climate!$E$21)&lt;Crops!$K$8,"C","O")))</f>
        <v>·</v>
      </c>
      <c r="S10" s="142" t="str">
        <f aca="false">IF(IF(GlobalGH,Climate!$G$22,Climate!$D$22)&lt;=0,"·",IF(IF(GlobalGH,Climate!$I$22,Climate!$F$22)&gt;Crops!$M$8,"H",IF(IF(GlobalGH,Climate!$H$22,Climate!$E$22)&lt;Crops!$K$8,"C","O")))</f>
        <v>·</v>
      </c>
      <c r="T10" s="142" t="str">
        <f aca="false">IF(IF(GlobalGH,Climate!$G$23,Climate!$D$23)&lt;=0,"·",IF(IF(GlobalGH,Climate!$I$23,Climate!$F$23)&gt;Crops!$M$8,"H",IF(IF(GlobalGH,Climate!$H$23,Climate!$E$23)&lt;Crops!$K$8,"C","O")))</f>
        <v>·</v>
      </c>
      <c r="U10" s="142" t="str">
        <f aca="false">IF(IF(GlobalGH,Climate!$G$24,Climate!$D$24)&lt;=0,"·",IF(IF(GlobalGH,Climate!$I$24,Climate!$F$24)&gt;Crops!$M$8,"H",IF(IF(GlobalGH,Climate!$H$24,Climate!$E$24)&lt;Crops!$K$8,"C","O")))</f>
        <v>·</v>
      </c>
      <c r="V10" s="142" t="str">
        <f aca="false">IF(IF(GlobalGH,Climate!$G$25,Climate!$D$25)&lt;=0,"·",IF(IF(GlobalGH,Climate!$I$25,Climate!$F$25)&gt;Crops!$M$8,"H",IF(IF(GlobalGH,Climate!$H$25,Climate!$E$25)&lt;Crops!$K$8,"C","O")))</f>
        <v>·</v>
      </c>
      <c r="W10" s="142" t="str">
        <f aca="false">IF(IF(GlobalGH,Climate!$G$26,Climate!$D$26)&lt;=0,"·",IF(IF(GlobalGH,Climate!$I$26,Climate!$F$26)&gt;Crops!$M$8,"H",IF(IF(GlobalGH,Climate!$H$26,Climate!$E$26)&lt;Crops!$K$8,"C","O")))</f>
        <v>·</v>
      </c>
      <c r="X10" s="142" t="str">
        <f aca="false">IF(IF(GlobalGH,Climate!$G$27,Climate!$D$27)&lt;=0,"·",IF(IF(GlobalGH,Climate!$I$27,Climate!$F$27)&gt;Crops!$M$8,"H",IF(IF(GlobalGH,Climate!$H$27,Climate!$E$27)&lt;Crops!$K$8,"C","O")))</f>
        <v>·</v>
      </c>
      <c r="Y10" s="142" t="str">
        <f aca="false">IF(IF(GlobalGH,Climate!$G$28,Climate!$D$28)&lt;=0,"·",IF(IF(GlobalGH,Climate!$I$28,Climate!$F$28)&gt;Crops!$M$8,"H",IF(IF(GlobalGH,Climate!$H$28,Climate!$E$28)&lt;Crops!$K$8,"C","O")))</f>
        <v>·</v>
      </c>
      <c r="Z10" s="142" t="str">
        <f aca="false">IF(IF(GlobalGH,Climate!$G$29,Climate!$D$29)&lt;=0,"·",IF(IF(GlobalGH,Climate!$I$29,Climate!$F$29)&gt;Crops!$M$8,"H",IF(IF(GlobalGH,Climate!$H$29,Climate!$E$29)&lt;Crops!$K$8,"C","O")))</f>
        <v>·</v>
      </c>
      <c r="AA10" s="142" t="str">
        <f aca="false">IF(IF(GlobalGH,Climate!$G$30,Climate!$D$30)&lt;=0,"·",IF(IF(GlobalGH,Climate!$I$30,Climate!$F$30)&gt;Crops!$M$8,"H",IF(IF(GlobalGH,Climate!$H$30,Climate!$E$30)&lt;Crops!$K$8,"C","O")))</f>
        <v>·</v>
      </c>
      <c r="AB10" s="142" t="str">
        <f aca="false">IF(IF(GlobalGH,Climate!$G$31,Climate!$D$31)&lt;=0,"·",IF(IF(GlobalGH,Climate!$I$31,Climate!$F$31)&gt;Crops!$M$8,"H",IF(IF(GlobalGH,Climate!$H$31,Climate!$E$31)&lt;Crops!$K$8,"C","O")))</f>
        <v>·</v>
      </c>
      <c r="AC10" s="142" t="str">
        <f aca="false">IF(IF(GlobalGH,Climate!$G$32,Climate!$D$32)&lt;=0,"·",IF(IF(GlobalGH,Climate!$I$32,Climate!$F$32)&gt;Crops!$M$8,"H",IF(IF(GlobalGH,Climate!$H$32,Climate!$E$32)&lt;Crops!$K$8,"C","O")))</f>
        <v>·</v>
      </c>
      <c r="AD10" s="142" t="str">
        <f aca="false">IF(IF(GlobalGH,Climate!$G$33,Climate!$D$33)&lt;=0,"·",IF(IF(GlobalGH,Climate!$I$33,Climate!$F$33)&gt;Crops!$M$8,"H",IF(IF(GlobalGH,Climate!$H$33,Climate!$E$33)&lt;Crops!$K$8,"C","O")))</f>
        <v>·</v>
      </c>
      <c r="AE10" s="142" t="str">
        <f aca="false">IF(IF(GlobalGH,Climate!$G$34,Climate!$D$34)&lt;=0,"·",IF(IF(GlobalGH,Climate!$I$34,Climate!$F$34)&gt;Crops!$M$8,"H",IF(IF(GlobalGH,Climate!$H$34,Climate!$E$34)&lt;Crops!$K$8,"C","O")))</f>
        <v>·</v>
      </c>
      <c r="AF10" s="142" t="str">
        <f aca="false">IF(IF(GlobalGH,Climate!$G$35,Climate!$D$35)&lt;=0,"·",IF(IF(GlobalGH,Climate!$I$35,Climate!$F$35)&gt;Crops!$M$8,"H",IF(IF(GlobalGH,Climate!$H$35,Climate!$E$35)&lt;Crops!$K$8,"C","O")))</f>
        <v>·</v>
      </c>
      <c r="AG10" s="142" t="str">
        <f aca="false">IF(IF(GlobalGH,Climate!$G$36,Climate!$D$36)&lt;=0,"·",IF(IF(GlobalGH,Climate!$I$36,Climate!$F$36)&gt;Crops!$M$8,"H",IF(IF(GlobalGH,Climate!$H$36,Climate!$E$36)&lt;Crops!$K$8,"C","O")))</f>
        <v>·</v>
      </c>
      <c r="AH10" s="142" t="str">
        <f aca="false">IF(IF(GlobalGH,Climate!$G$37,Climate!$D$37)&lt;=0,"·",IF(IF(GlobalGH,Climate!$I$37,Climate!$F$37)&gt;Crops!$M$8,"H",IF(IF(GlobalGH,Climate!$H$37,Climate!$E$37)&lt;Crops!$K$8,"C","O")))</f>
        <v>·</v>
      </c>
      <c r="AI10" s="142" t="str">
        <f aca="false">IF(IF(GlobalGH,Climate!$G$38,Climate!$D$38)&lt;=0,"·",IF(IF(GlobalGH,Climate!$I$38,Climate!$F$38)&gt;Crops!$M$8,"H",IF(IF(GlobalGH,Climate!$H$38,Climate!$E$38)&lt;Crops!$K$8,"C","O")))</f>
        <v>C</v>
      </c>
      <c r="AJ10" s="142" t="str">
        <f aca="false">IF(IF(GlobalGH,Climate!$G$39,Climate!$D$39)&lt;=0,"·",IF(IF(GlobalGH,Climate!$I$39,Climate!$F$39)&gt;Crops!$M$8,"H",IF(IF(GlobalGH,Climate!$H$39,Climate!$E$39)&lt;Crops!$K$8,"C","O")))</f>
        <v>C</v>
      </c>
      <c r="AK10" s="142" t="str">
        <f aca="false">IF(IF(GlobalGH,Climate!$G$40,Climate!$D$40)&lt;=0,"·",IF(IF(GlobalGH,Climate!$I$40,Climate!$F$40)&gt;Crops!$M$8,"H",IF(IF(GlobalGH,Climate!$H$40,Climate!$E$40)&lt;Crops!$K$8,"C","O")))</f>
        <v>O</v>
      </c>
      <c r="AL10" s="142" t="str">
        <f aca="false">IF(IF(GlobalGH,Climate!$G$41,Climate!$D$41)&lt;=0,"·",IF(IF(GlobalGH,Climate!$I$41,Climate!$F$41)&gt;Crops!$M$8,"H",IF(IF(GlobalGH,Climate!$H$41,Climate!$E$41)&lt;Crops!$K$8,"C","O")))</f>
        <v>O</v>
      </c>
      <c r="AM10" s="142" t="str">
        <f aca="false">IF(IF(GlobalGH,Climate!$G$42,Climate!$D$42)&lt;=0,"·",IF(IF(GlobalGH,Climate!$I$42,Climate!$F$42)&gt;Crops!$M$8,"H",IF(IF(GlobalGH,Climate!$H$42,Climate!$E$42)&lt;Crops!$K$8,"C","O")))</f>
        <v>O</v>
      </c>
      <c r="AN10" s="142" t="str">
        <f aca="false">IF(IF(GlobalGH,Climate!$G$43,Climate!$D$43)&lt;=0,"·",IF(IF(GlobalGH,Climate!$I$43,Climate!$F$43)&gt;Crops!$M$8,"H",IF(IF(GlobalGH,Climate!$H$43,Climate!$E$43)&lt;Crops!$K$8,"C","O")))</f>
        <v>O</v>
      </c>
      <c r="AO10" s="142" t="str">
        <f aca="false">IF(IF(GlobalGH,Climate!$G$44,Climate!$D$44)&lt;=0,"·",IF(IF(GlobalGH,Climate!$I$44,Climate!$F$44)&gt;Crops!$M$8,"H",IF(IF(GlobalGH,Climate!$H$44,Climate!$E$44)&lt;Crops!$K$8,"C","O")))</f>
        <v>O</v>
      </c>
      <c r="AP10" s="142" t="str">
        <f aca="false">IF(IF(GlobalGH,Climate!$G$45,Climate!$D$45)&lt;=0,"·",IF(IF(GlobalGH,Climate!$I$45,Climate!$F$45)&gt;Crops!$M$8,"H",IF(IF(GlobalGH,Climate!$H$45,Climate!$E$45)&lt;Crops!$K$8,"C","O")))</f>
        <v>O</v>
      </c>
      <c r="AQ10" s="142" t="str">
        <f aca="false">IF(IF(GlobalGH,Climate!$G$46,Climate!$D$46)&lt;=0,"·",IF(IF(GlobalGH,Climate!$I$46,Climate!$F$46)&gt;Crops!$M$8,"H",IF(IF(GlobalGH,Climate!$H$46,Climate!$E$46)&lt;Crops!$K$8,"C","O")))</f>
        <v>O</v>
      </c>
      <c r="AR10" s="142" t="str">
        <f aca="false">IF(IF(GlobalGH,Climate!$G$47,Climate!$D$47)&lt;=0,"·",IF(IF(GlobalGH,Climate!$I$47,Climate!$F$47)&gt;Crops!$M$8,"H",IF(IF(GlobalGH,Climate!$H$47,Climate!$E$47)&lt;Crops!$K$8,"C","O")))</f>
        <v>O</v>
      </c>
      <c r="AS10" s="142" t="str">
        <f aca="false">IF(IF(GlobalGH,Climate!$G$48,Climate!$D$48)&lt;=0,"·",IF(IF(GlobalGH,Climate!$I$48,Climate!$F$48)&gt;Crops!$M$8,"H",IF(IF(GlobalGH,Climate!$H$48,Climate!$E$48)&lt;Crops!$K$8,"C","O")))</f>
        <v>O</v>
      </c>
      <c r="AT10" s="142" t="str">
        <f aca="false">IF(IF(GlobalGH,Climate!$G$49,Climate!$D$49)&lt;=0,"·",IF(IF(GlobalGH,Climate!$I$49,Climate!$F$49)&gt;Crops!$M$8,"H",IF(IF(GlobalGH,Climate!$H$49,Climate!$E$49)&lt;Crops!$K$8,"C","O")))</f>
        <v>O</v>
      </c>
      <c r="AU10" s="142" t="str">
        <f aca="false">IF(IF(GlobalGH,Climate!$G$50,Climate!$D$50)&lt;=0,"·",IF(IF(GlobalGH,Climate!$I$50,Climate!$F$50)&gt;Crops!$M$8,"H",IF(IF(GlobalGH,Climate!$H$50,Climate!$E$50)&lt;Crops!$K$8,"C","O")))</f>
        <v>O</v>
      </c>
      <c r="AV10" s="142" t="str">
        <f aca="false">IF(IF(GlobalGH,Climate!$G$51,Climate!$D$51)&lt;=0,"·",IF(IF(GlobalGH,Climate!$I$51,Climate!$F$51)&gt;Crops!$M$8,"H",IF(IF(GlobalGH,Climate!$H$51,Climate!$E$51)&lt;Crops!$K$8,"C","O")))</f>
        <v>O</v>
      </c>
      <c r="AW10" s="142" t="str">
        <f aca="false">IF(IF(GlobalGH,Climate!$G$52,Climate!$D$52)&lt;=0,"·",IF(IF(GlobalGH,Climate!$I$52,Climate!$F$52)&gt;Crops!$M$8,"H",IF(IF(GlobalGH,Climate!$H$52,Climate!$E$52)&lt;Crops!$K$8,"C","O")))</f>
        <v>O</v>
      </c>
      <c r="AX10" s="142" t="str">
        <f aca="false">IF(IF(GlobalGH,Climate!$G$53,Climate!$D$53)&lt;=0,"·",IF(IF(GlobalGH,Climate!$I$53,Climate!$F$53)&gt;Crops!$M$8,"H",IF(IF(GlobalGH,Climate!$H$53,Climate!$E$53)&lt;Crops!$K$8,"C","O")))</f>
        <v>O</v>
      </c>
      <c r="AY10" s="142" t="str">
        <f aca="false">IF(IF(GlobalGH,Climate!$G$54,Climate!$D$54)&lt;=0,"·",IF(IF(GlobalGH,Climate!$I$54,Climate!$F$54)&gt;Crops!$M$8,"H",IF(IF(GlobalGH,Climate!$H$54,Climate!$E$54)&lt;Crops!$K$8,"C","O")))</f>
        <v>O</v>
      </c>
      <c r="AZ10" s="142" t="str">
        <f aca="false">IF(IF(GlobalGH,Climate!$G$55,Climate!$D$55)&lt;=0,"·",IF(IF(GlobalGH,Climate!$I$55,Climate!$F$55)&gt;Crops!$M$8,"H",IF(IF(GlobalGH,Climate!$H$55,Climate!$E$55)&lt;Crops!$K$8,"C","O")))</f>
        <v>O</v>
      </c>
      <c r="BA10" s="142" t="str">
        <f aca="false">IF(IF(GlobalGH,Climate!$G$56,Climate!$D$56)&lt;=0,"·",IF(IF(GlobalGH,Climate!$I$56,Climate!$F$56)&gt;Crops!$M$8,"H",IF(IF(GlobalGH,Climate!$H$56,Climate!$E$56)&lt;Crops!$K$8,"C","O")))</f>
        <v>O</v>
      </c>
      <c r="BB10" s="142" t="str">
        <f aca="false">IF(IF(GlobalGH,Climate!$G$57,Climate!$D$57)&lt;=0,"·",IF(IF(GlobalGH,Climate!$I$57,Climate!$F$57)&gt;Crops!$M$8,"H",IF(IF(GlobalGH,Climate!$H$57,Climate!$E$57)&lt;Crops!$K$8,"C","O")))</f>
        <v>O</v>
      </c>
      <c r="BC10" s="142" t="str">
        <f aca="false">IF(IF(GlobalGH,Climate!$G$58,Climate!$D$58)&lt;=0,"·",IF(IF(GlobalGH,Climate!$I$58,Climate!$F$58)&gt;Crops!$M$8,"H",IF(IF(GlobalGH,Climate!$H$58,Climate!$E$58)&lt;Crops!$K$8,"C","O")))</f>
        <v>O</v>
      </c>
      <c r="BD10" s="142" t="str">
        <f aca="false">IF(IF(GlobalGH,Climate!$G$59,Climate!$D$59)&lt;=0,"·",IF(IF(GlobalGH,Climate!$I$59,Climate!$F$59)&gt;Crops!$M$8,"H",IF(IF(GlobalGH,Climate!$H$59,Climate!$E$59)&lt;Crops!$K$8,"C","O")))</f>
        <v>O</v>
      </c>
      <c r="BE10" s="142" t="str">
        <f aca="false">IF(IF(GlobalGH,Climate!$G$60,Climate!$D$60)&lt;=0,"·",IF(IF(GlobalGH,Climate!$I$60,Climate!$F$60)&gt;Crops!$M$8,"H",IF(IF(GlobalGH,Climate!$H$60,Climate!$E$60)&lt;Crops!$K$8,"C","O")))</f>
        <v>O</v>
      </c>
      <c r="BF10" s="142" t="str">
        <f aca="false">IF(IF(GlobalGH,Climate!$G$61,Climate!$D$61)&lt;=0,"·",IF(IF(GlobalGH,Climate!$I$61,Climate!$F$61)&gt;Crops!$M$8,"H",IF(IF(GlobalGH,Climate!$H$61,Climate!$E$61)&lt;Crops!$K$8,"C","O")))</f>
        <v>O</v>
      </c>
      <c r="BG10" s="142" t="str">
        <f aca="false">IF(IF(GlobalGH,Climate!$G$62,Climate!$D$62)&lt;=0,"·",IF(IF(GlobalGH,Climate!$I$62,Climate!$F$62)&gt;Crops!$M$8,"H",IF(IF(GlobalGH,Climate!$H$62,Climate!$E$62)&lt;Crops!$K$8,"C","O")))</f>
        <v>O</v>
      </c>
      <c r="BH10" s="142" t="str">
        <f aca="false">IF(IF(GlobalGH,Climate!$G$63,Climate!$D$63)&lt;=0,"·",IF(IF(GlobalGH,Climate!$I$63,Climate!$F$63)&gt;Crops!$M$8,"H",IF(IF(GlobalGH,Climate!$H$63,Climate!$E$63)&lt;Crops!$K$8,"C","O")))</f>
        <v>O</v>
      </c>
      <c r="BI10" s="142" t="str">
        <f aca="false">IF(IF(GlobalGH,Climate!$G$64,Climate!$D$64)&lt;=0,"·",IF(IF(GlobalGH,Climate!$I$64,Climate!$F$64)&gt;Crops!$M$8,"H",IF(IF(GlobalGH,Climate!$H$64,Climate!$E$64)&lt;Crops!$K$8,"C","O")))</f>
        <v>O</v>
      </c>
      <c r="BJ10" s="142" t="str">
        <f aca="false">IF(IF(GlobalGH,Climate!$G$65,Climate!$D$65)&lt;=0,"·",IF(IF(GlobalGH,Climate!$I$65,Climate!$F$65)&gt;Crops!$M$8,"H",IF(IF(GlobalGH,Climate!$H$65,Climate!$E$65)&lt;Crops!$K$8,"C","O")))</f>
        <v>O</v>
      </c>
      <c r="BK10" s="142" t="str">
        <f aca="false">IF(IF(GlobalGH,Climate!$G$66,Climate!$D$66)&lt;=0,"·",IF(IF(GlobalGH,Climate!$I$66,Climate!$F$66)&gt;Crops!$M$8,"H",IF(IF(GlobalGH,Climate!$H$66,Climate!$E$66)&lt;Crops!$K$8,"C","O")))</f>
        <v>O</v>
      </c>
      <c r="BL10" s="142" t="str">
        <f aca="false">IF(IF(GlobalGH,Climate!$G$67,Climate!$D$67)&lt;=0,"·",IF(IF(GlobalGH,Climate!$I$67,Climate!$F$67)&gt;Crops!$M$8,"H",IF(IF(GlobalGH,Climate!$H$67,Climate!$E$67)&lt;Crops!$K$8,"C","O")))</f>
        <v>O</v>
      </c>
      <c r="BM10" s="142" t="str">
        <f aca="false">IF(IF(GlobalGH,Climate!$G$68,Climate!$D$68)&lt;=0,"·",IF(IF(GlobalGH,Climate!$I$68,Climate!$F$68)&gt;Crops!$M$8,"H",IF(IF(GlobalGH,Climate!$H$68,Climate!$E$68)&lt;Crops!$K$8,"C","O")))</f>
        <v>O</v>
      </c>
      <c r="BN10" s="142" t="str">
        <f aca="false">IF(IF(GlobalGH,Climate!$G$69,Climate!$D$69)&lt;=0,"·",IF(IF(GlobalGH,Climate!$I$69,Climate!$F$69)&gt;Crops!$M$8,"H",IF(IF(GlobalGH,Climate!$H$69,Climate!$E$69)&lt;Crops!$K$8,"C","O")))</f>
        <v>O</v>
      </c>
      <c r="BO10" s="142" t="str">
        <f aca="false">IF(IF(GlobalGH,Climate!$G$70,Climate!$D$70)&lt;=0,"·",IF(IF(GlobalGH,Climate!$I$70,Climate!$F$70)&gt;Crops!$M$8,"H",IF(IF(GlobalGH,Climate!$H$70,Climate!$E$70)&lt;Crops!$K$8,"C","O")))</f>
        <v>O</v>
      </c>
      <c r="BP10" s="142" t="str">
        <f aca="false">IF(IF(GlobalGH,Climate!$G$71,Climate!$D$71)&lt;=0,"·",IF(IF(GlobalGH,Climate!$I$71,Climate!$F$71)&gt;Crops!$M$8,"H",IF(IF(GlobalGH,Climate!$H$71,Climate!$E$71)&lt;Crops!$K$8,"C","O")))</f>
        <v>O</v>
      </c>
      <c r="BQ10" s="142" t="str">
        <f aca="false">IF(IF(GlobalGH,Climate!$G$72,Climate!$D$72)&lt;=0,"·",IF(IF(GlobalGH,Climate!$I$72,Climate!$F$72)&gt;Crops!$M$8,"H",IF(IF(GlobalGH,Climate!$H$72,Climate!$E$72)&lt;Crops!$K$8,"C","O")))</f>
        <v>O</v>
      </c>
      <c r="BR10" s="142" t="str">
        <f aca="false">IF(IF(GlobalGH,Climate!$G$73,Climate!$D$73)&lt;=0,"·",IF(IF(GlobalGH,Climate!$I$73,Climate!$F$73)&gt;Crops!$M$8,"H",IF(IF(GlobalGH,Climate!$H$73,Climate!$E$73)&lt;Crops!$K$8,"C","O")))</f>
        <v>O</v>
      </c>
      <c r="BS10" s="142" t="str">
        <f aca="false">IF(IF(GlobalGH,Climate!$G$74,Climate!$D$74)&lt;=0,"·",IF(IF(GlobalGH,Climate!$I$74,Climate!$F$74)&gt;Crops!$M$8,"H",IF(IF(GlobalGH,Climate!$H$74,Climate!$E$74)&lt;Crops!$K$8,"C","O")))</f>
        <v>O</v>
      </c>
      <c r="BT10" s="142" t="str">
        <f aca="false">IF(IF(GlobalGH,Climate!$G$75,Climate!$D$75)&lt;=0,"·",IF(IF(GlobalGH,Climate!$I$75,Climate!$F$75)&gt;Crops!$M$8,"H",IF(IF(GlobalGH,Climate!$H$75,Climate!$E$75)&lt;Crops!$K$8,"C","O")))</f>
        <v>O</v>
      </c>
      <c r="BU10" s="142" t="str">
        <f aca="false">IF(IF(GlobalGH,Climate!$G$76,Climate!$D$76)&lt;=0,"·",IF(IF(GlobalGH,Climate!$I$76,Climate!$F$76)&gt;Crops!$M$8,"H",IF(IF(GlobalGH,Climate!$H$76,Climate!$E$76)&lt;Crops!$K$8,"C","O")))</f>
        <v>O</v>
      </c>
      <c r="BV10" s="142" t="str">
        <f aca="false">IF(IF(GlobalGH,Climate!$G$77,Climate!$D$77)&lt;=0,"·",IF(IF(GlobalGH,Climate!$I$77,Climate!$F$77)&gt;Crops!$M$8,"H",IF(IF(GlobalGH,Climate!$H$77,Climate!$E$77)&lt;Crops!$K$8,"C","O")))</f>
        <v>O</v>
      </c>
      <c r="BW10" s="142" t="str">
        <f aca="false">IF(IF(GlobalGH,Climate!$G$78,Climate!$D$78)&lt;=0,"·",IF(IF(GlobalGH,Climate!$I$78,Climate!$F$78)&gt;Crops!$M$8,"H",IF(IF(GlobalGH,Climate!$H$78,Climate!$E$78)&lt;Crops!$K$8,"C","O")))</f>
        <v>O</v>
      </c>
      <c r="BX10" s="142" t="str">
        <f aca="false">IF(IF(GlobalGH,Climate!$G$79,Climate!$D$79)&lt;=0,"·",IF(IF(GlobalGH,Climate!$I$79,Climate!$F$79)&gt;Crops!$M$8,"H",IF(IF(GlobalGH,Climate!$H$79,Climate!$E$79)&lt;Crops!$K$8,"C","O")))</f>
        <v>O</v>
      </c>
      <c r="BY10" s="142" t="str">
        <f aca="false">IF(IF(GlobalGH,Climate!$G$80,Climate!$D$80)&lt;=0,"·",IF(IF(GlobalGH,Climate!$I$80,Climate!$F$80)&gt;Crops!$M$8,"H",IF(IF(GlobalGH,Climate!$H$80,Climate!$E$80)&lt;Crops!$K$8,"C","O")))</f>
        <v>O</v>
      </c>
      <c r="BZ10" s="142" t="str">
        <f aca="false">IF(IF(GlobalGH,Climate!$G$81,Climate!$D$81)&lt;=0,"·",IF(IF(GlobalGH,Climate!$I$81,Climate!$F$81)&gt;Crops!$M$8,"H",IF(IF(GlobalGH,Climate!$H$81,Climate!$E$81)&lt;Crops!$K$8,"C","O")))</f>
        <v>O</v>
      </c>
      <c r="CA10" s="142" t="str">
        <f aca="false">IF(IF(GlobalGH,Climate!$G$82,Climate!$D$82)&lt;=0,"·",IF(IF(GlobalGH,Climate!$I$82,Climate!$F$82)&gt;Crops!$M$8,"H",IF(IF(GlobalGH,Climate!$H$82,Climate!$E$82)&lt;Crops!$K$8,"C","O")))</f>
        <v>O</v>
      </c>
      <c r="CB10" s="142" t="str">
        <f aca="false">IF(IF(GlobalGH,Climate!$G$83,Climate!$D$83)&lt;=0,"·",IF(IF(GlobalGH,Climate!$I$83,Climate!$F$83)&gt;Crops!$M$8,"H",IF(IF(GlobalGH,Climate!$H$83,Climate!$E$83)&lt;Crops!$K$8,"C","O")))</f>
        <v>O</v>
      </c>
      <c r="CC10" s="142" t="str">
        <f aca="false">IF(IF(GlobalGH,Climate!$G$84,Climate!$D$84)&lt;=0,"·",IF(IF(GlobalGH,Climate!$I$84,Climate!$F$84)&gt;Crops!$M$8,"H",IF(IF(GlobalGH,Climate!$H$84,Climate!$E$84)&lt;Crops!$K$8,"C","O")))</f>
        <v>O</v>
      </c>
      <c r="CD10" s="142" t="str">
        <f aca="false">IF(IF(GlobalGH,Climate!$G$85,Climate!$D$85)&lt;=0,"·",IF(IF(GlobalGH,Climate!$I$85,Climate!$F$85)&gt;Crops!$M$8,"H",IF(IF(GlobalGH,Climate!$H$85,Climate!$E$85)&lt;Crops!$K$8,"C","O")))</f>
        <v>O</v>
      </c>
      <c r="CE10" s="142" t="str">
        <f aca="false">IF(IF(GlobalGH,Climate!$G$86,Climate!$D$86)&lt;=0,"·",IF(IF(GlobalGH,Climate!$I$86,Climate!$F$86)&gt;Crops!$M$8,"H",IF(IF(GlobalGH,Climate!$H$86,Climate!$E$86)&lt;Crops!$K$8,"C","O")))</f>
        <v>O</v>
      </c>
      <c r="CF10" s="142" t="str">
        <f aca="false">IF(IF(GlobalGH,Climate!$G$87,Climate!$D$87)&lt;=0,"·",IF(IF(GlobalGH,Climate!$I$87,Climate!$F$87)&gt;Crops!$M$8,"H",IF(IF(GlobalGH,Climate!$H$87,Climate!$E$87)&lt;Crops!$K$8,"C","O")))</f>
        <v>O</v>
      </c>
      <c r="CG10" s="142" t="str">
        <f aca="false">IF(IF(GlobalGH,Climate!$G$88,Climate!$D$88)&lt;=0,"·",IF(IF(GlobalGH,Climate!$I$88,Climate!$F$88)&gt;Crops!$M$8,"H",IF(IF(GlobalGH,Climate!$H$88,Climate!$E$88)&lt;Crops!$K$8,"C","O")))</f>
        <v>·</v>
      </c>
      <c r="CH10" s="142" t="str">
        <f aca="false">IF(IF(GlobalGH,Climate!$G$89,Climate!$D$89)&lt;=0,"·",IF(IF(GlobalGH,Climate!$I$89,Climate!$F$89)&gt;Crops!$M$8,"H",IF(IF(GlobalGH,Climate!$H$89,Climate!$E$89)&lt;Crops!$K$8,"C","O")))</f>
        <v>·</v>
      </c>
      <c r="CI10" s="142" t="str">
        <f aca="false">IF(IF(GlobalGH,Climate!$G$90,Climate!$D$90)&lt;=0,"·",IF(IF(GlobalGH,Climate!$I$90,Climate!$F$90)&gt;Crops!$M$8,"H",IF(IF(GlobalGH,Climate!$H$90,Climate!$E$90)&lt;Crops!$K$8,"C","O")))</f>
        <v>·</v>
      </c>
      <c r="CJ10" s="142" t="str">
        <f aca="false">IF(IF(GlobalGH,Climate!$G$91,Climate!$D$91)&lt;=0,"·",IF(IF(GlobalGH,Climate!$I$91,Climate!$F$91)&gt;Crops!$M$8,"H",IF(IF(GlobalGH,Climate!$H$91,Climate!$E$91)&lt;Crops!$K$8,"C","O")))</f>
        <v>·</v>
      </c>
      <c r="CK10" s="142" t="str">
        <f aca="false">IF(IF(GlobalGH,Climate!$G$92,Climate!$D$92)&lt;=0,"·",IF(IF(GlobalGH,Climate!$I$92,Climate!$F$92)&gt;Crops!$M$8,"H",IF(IF(GlobalGH,Climate!$H$92,Climate!$E$92)&lt;Crops!$K$8,"C","O")))</f>
        <v>·</v>
      </c>
      <c r="CL10" s="142" t="str">
        <f aca="false">IF(IF(GlobalGH,Climate!$G$93,Climate!$D$93)&lt;=0,"·",IF(IF(GlobalGH,Climate!$I$93,Climate!$F$93)&gt;Crops!$M$8,"H",IF(IF(GlobalGH,Climate!$H$93,Climate!$E$93)&lt;Crops!$K$8,"C","O")))</f>
        <v>·</v>
      </c>
      <c r="CM10" s="142" t="str">
        <f aca="false">IF(IF(GlobalGH,Climate!$G$94,Climate!$D$94)&lt;=0,"·",IF(IF(GlobalGH,Climate!$I$94,Climate!$F$94)&gt;Crops!$M$8,"H",IF(IF(GlobalGH,Climate!$H$94,Climate!$E$94)&lt;Crops!$K$8,"C","O")))</f>
        <v>·</v>
      </c>
      <c r="CN10" s="142" t="str">
        <f aca="false">IF(IF(GlobalGH,Climate!$G$95,Climate!$D$95)&lt;=0,"·",IF(IF(GlobalGH,Climate!$I$95,Climate!$F$95)&gt;Crops!$M$8,"H",IF(IF(GlobalGH,Climate!$H$95,Climate!$E$95)&lt;Crops!$K$8,"C","O")))</f>
        <v>·</v>
      </c>
      <c r="CO10" s="142" t="str">
        <f aca="false">IF(IF(GlobalGH,Climate!$G$96,Climate!$D$96)&lt;=0,"·",IF(IF(GlobalGH,Climate!$I$96,Climate!$F$96)&gt;Crops!$M$8,"H",IF(IF(GlobalGH,Climate!$H$96,Climate!$E$96)&lt;Crops!$K$8,"C","O")))</f>
        <v>·</v>
      </c>
      <c r="CP10" s="142" t="str">
        <f aca="false">IF(IF(GlobalGH,Climate!$G$97,Climate!$D$97)&lt;=0,"·",IF(IF(GlobalGH,Climate!$I$97,Climate!$F$97)&gt;Crops!$M$8,"H",IF(IF(GlobalGH,Climate!$H$97,Climate!$E$97)&lt;Crops!$K$8,"C","O")))</f>
        <v>·</v>
      </c>
      <c r="CQ10" s="142" t="str">
        <f aca="false">IF(IF(GlobalGH,Climate!$G$98,Climate!$D$98)&lt;=0,"·",IF(IF(GlobalGH,Climate!$I$98,Climate!$F$98)&gt;Crops!$M$8,"H",IF(IF(GlobalGH,Climate!$H$98,Climate!$E$98)&lt;Crops!$K$8,"C","O")))</f>
        <v>·</v>
      </c>
      <c r="CR10" s="142" t="str">
        <f aca="false">IF(IF(GlobalGH,Climate!$G$99,Climate!$D$99)&lt;=0,"·",IF(IF(GlobalGH,Climate!$I$99,Climate!$F$99)&gt;Crops!$M$8,"H",IF(IF(GlobalGH,Climate!$H$99,Climate!$E$99)&lt;Crops!$K$8,"C","O")))</f>
        <v>·</v>
      </c>
      <c r="CS10" s="142" t="str">
        <f aca="false">IF(IF(GlobalGH,Climate!$G$100,Climate!$D$100)&lt;=0,"·",IF(IF(GlobalGH,Climate!$I$100,Climate!$F$100)&gt;Crops!$M$8,"H",IF(IF(GlobalGH,Climate!$H$100,Climate!$E$100)&lt;Crops!$K$8,"C","O")))</f>
        <v>·</v>
      </c>
      <c r="CT10" s="142" t="str">
        <f aca="false">IF(IF(GlobalGH,Climate!$G$101,Climate!$D$101)&lt;=0,"·",IF(IF(GlobalGH,Climate!$I$101,Climate!$F$101)&gt;Crops!$M$8,"H",IF(IF(GlobalGH,Climate!$H$101,Climate!$E$101)&lt;Crops!$K$8,"C","O")))</f>
        <v>·</v>
      </c>
      <c r="CU10" s="142" t="str">
        <f aca="false">IF(IF(GlobalGH,Climate!$G$102,Climate!$D$102)&lt;=0,"·",IF(IF(GlobalGH,Climate!$I$102,Climate!$F$102)&gt;Crops!$M$8,"H",IF(IF(GlobalGH,Climate!$H$102,Climate!$E$102)&lt;Crops!$K$8,"C","O")))</f>
        <v>·</v>
      </c>
      <c r="CV10" s="142" t="str">
        <f aca="false">IF(IF(GlobalGH,Climate!$G$103,Climate!$D$103)&lt;=0,"·",IF(IF(GlobalGH,Climate!$I$103,Climate!$F$103)&gt;Crops!$M$8,"H",IF(IF(GlobalGH,Climate!$H$103,Climate!$E$103)&lt;Crops!$K$8,"C","O")))</f>
        <v>·</v>
      </c>
      <c r="CW10" s="142" t="str">
        <f aca="false">IF(IF(GlobalGH,Climate!$G$104,Climate!$D$104)&lt;=0,"·",IF(IF(GlobalGH,Climate!$I$104,Climate!$F$104)&gt;Crops!$M$8,"H",IF(IF(GlobalGH,Climate!$H$104,Climate!$E$104)&lt;Crops!$K$8,"C","O")))</f>
        <v>·</v>
      </c>
      <c r="CX10" s="142" t="str">
        <f aca="false">IF(IF(GlobalGH,Climate!$G$105,Climate!$D$105)&lt;=0,"·",IF(IF(GlobalGH,Climate!$I$105,Climate!$F$105)&gt;Crops!$M$8,"H",IF(IF(GlobalGH,Climate!$H$105,Climate!$E$105)&lt;Crops!$K$8,"C","O")))</f>
        <v>·</v>
      </c>
      <c r="CY10" s="142" t="str">
        <f aca="false">IF(IF(GlobalGH,Climate!$G$106,Climate!$D$106)&lt;=0,"·",IF(IF(GlobalGH,Climate!$I$106,Climate!$F$106)&gt;Crops!$M$8,"H",IF(IF(GlobalGH,Climate!$H$106,Climate!$E$106)&lt;Crops!$K$8,"C","O")))</f>
        <v>·</v>
      </c>
      <c r="CZ10" s="142" t="str">
        <f aca="false">IF(IF(GlobalGH,Climate!$G$107,Climate!$D$107)&lt;=0,"·",IF(IF(GlobalGH,Climate!$I$107,Climate!$F$107)&gt;Crops!$M$8,"H",IF(IF(GlobalGH,Climate!$H$107,Climate!$E$107)&lt;Crops!$K$8,"C","O")))</f>
        <v>·</v>
      </c>
      <c r="DA10" s="142" t="str">
        <f aca="false">IF(IF(GlobalGH,Climate!$G$108,Climate!$D$108)&lt;=0,"·",IF(IF(GlobalGH,Climate!$I$108,Climate!$F$108)&gt;Crops!$M$8,"H",IF(IF(GlobalGH,Climate!$H$108,Climate!$E$108)&lt;Crops!$K$8,"C","O")))</f>
        <v>·</v>
      </c>
      <c r="DB10" s="142" t="str">
        <f aca="false">IF(IF(GlobalGH,Climate!$G$109,Climate!$D$109)&lt;=0,"·",IF(IF(GlobalGH,Climate!$I$109,Climate!$F$109)&gt;Crops!$M$8,"H",IF(IF(GlobalGH,Climate!$H$109,Climate!$E$109)&lt;Crops!$K$8,"C","O")))</f>
        <v>·</v>
      </c>
      <c r="DC10" s="142" t="str">
        <f aca="false">IF(IF(GlobalGH,Climate!$G$110,Climate!$D$110)&lt;=0,"·",IF(IF(GlobalGH,Climate!$I$110,Climate!$F$110)&gt;Crops!$M$8,"H",IF(IF(GlobalGH,Climate!$H$110,Climate!$E$110)&lt;Crops!$K$8,"C","O")))</f>
        <v>·</v>
      </c>
      <c r="DD10" s="142" t="str">
        <f aca="false">IF(IF(GlobalGH,Climate!$G$111,Climate!$D$111)&lt;=0,"·",IF(IF(GlobalGH,Climate!$I$111,Climate!$F$111)&gt;Crops!$M$8,"H",IF(IF(GlobalGH,Climate!$H$111,Climate!$E$111)&lt;Crops!$K$8,"C","O")))</f>
        <v>·</v>
      </c>
      <c r="DE10" s="142" t="str">
        <f aca="false">IF(IF(GlobalGH,Climate!$G$112,Climate!$D$112)&lt;=0,"·",IF(IF(GlobalGH,Climate!$I$112,Climate!$F$112)&gt;Crops!$M$8,"H",IF(IF(GlobalGH,Climate!$H$112,Climate!$E$112)&lt;Crops!$K$8,"C","O")))</f>
        <v>·</v>
      </c>
      <c r="DF10" s="143" t="n">
        <f aca="false">COUNTIF(B10:DE10,"O")</f>
        <v>48</v>
      </c>
      <c r="DG10" s="139" t="s">
        <v>421</v>
      </c>
    </row>
    <row r="11" customFormat="false" ht="15" hidden="false" customHeight="true" outlineLevel="0" collapsed="false">
      <c r="A11" s="141" t="str">
        <f aca="false">Crops!$B$9</f>
        <v>Licorice</v>
      </c>
      <c r="B11" s="142" t="str">
        <f aca="false">IF(IF(GlobalGH,Climate!$G$5,Climate!$D$5)&lt;=0,"·",IF(IF(GlobalGH,Climate!$I$5,Climate!$F$5)&gt;Crops!$M$9,"H",IF(IF(GlobalGH,Climate!$H$5,Climate!$E$5)&lt;Crops!$K$9,"C","O")))</f>
        <v>·</v>
      </c>
      <c r="C11" s="142" t="str">
        <f aca="false">IF(IF(GlobalGH,Climate!$G$6,Climate!$D$6)&lt;=0,"·",IF(IF(GlobalGH,Climate!$I$6,Climate!$F$6)&gt;Crops!$M$9,"H",IF(IF(GlobalGH,Climate!$H$6,Climate!$E$6)&lt;Crops!$K$9,"C","O")))</f>
        <v>·</v>
      </c>
      <c r="D11" s="142" t="str">
        <f aca="false">IF(IF(GlobalGH,Climate!$G$7,Climate!$D$7)&lt;=0,"·",IF(IF(GlobalGH,Climate!$I$7,Climate!$F$7)&gt;Crops!$M$9,"H",IF(IF(GlobalGH,Climate!$H$7,Climate!$E$7)&lt;Crops!$K$9,"C","O")))</f>
        <v>·</v>
      </c>
      <c r="E11" s="142" t="str">
        <f aca="false">IF(IF(GlobalGH,Climate!$G$8,Climate!$D$8)&lt;=0,"·",IF(IF(GlobalGH,Climate!$I$8,Climate!$F$8)&gt;Crops!$M$9,"H",IF(IF(GlobalGH,Climate!$H$8,Climate!$E$8)&lt;Crops!$K$9,"C","O")))</f>
        <v>·</v>
      </c>
      <c r="F11" s="142" t="str">
        <f aca="false">IF(IF(GlobalGH,Climate!$G$9,Climate!$D$9)&lt;=0,"·",IF(IF(GlobalGH,Climate!$I$9,Climate!$F$9)&gt;Crops!$M$9,"H",IF(IF(GlobalGH,Climate!$H$9,Climate!$E$9)&lt;Crops!$K$9,"C","O")))</f>
        <v>·</v>
      </c>
      <c r="G11" s="142" t="str">
        <f aca="false">IF(IF(GlobalGH,Climate!$G$10,Climate!$D$10)&lt;=0,"·",IF(IF(GlobalGH,Climate!$I$10,Climate!$F$10)&gt;Crops!$M$9,"H",IF(IF(GlobalGH,Climate!$H$10,Climate!$E$10)&lt;Crops!$K$9,"C","O")))</f>
        <v>·</v>
      </c>
      <c r="H11" s="142" t="str">
        <f aca="false">IF(IF(GlobalGH,Climate!$G$11,Climate!$D$11)&lt;=0,"·",IF(IF(GlobalGH,Climate!$I$11,Climate!$F$11)&gt;Crops!$M$9,"H",IF(IF(GlobalGH,Climate!$H$11,Climate!$E$11)&lt;Crops!$K$9,"C","O")))</f>
        <v>·</v>
      </c>
      <c r="I11" s="142" t="str">
        <f aca="false">IF(IF(GlobalGH,Climate!$G$12,Climate!$D$12)&lt;=0,"·",IF(IF(GlobalGH,Climate!$I$12,Climate!$F$12)&gt;Crops!$M$9,"H",IF(IF(GlobalGH,Climate!$H$12,Climate!$E$12)&lt;Crops!$K$9,"C","O")))</f>
        <v>·</v>
      </c>
      <c r="J11" s="142" t="str">
        <f aca="false">IF(IF(GlobalGH,Climate!$G$13,Climate!$D$13)&lt;=0,"·",IF(IF(GlobalGH,Climate!$I$13,Climate!$F$13)&gt;Crops!$M$9,"H",IF(IF(GlobalGH,Climate!$H$13,Climate!$E$13)&lt;Crops!$K$9,"C","O")))</f>
        <v>·</v>
      </c>
      <c r="K11" s="142" t="str">
        <f aca="false">IF(IF(GlobalGH,Climate!$G$14,Climate!$D$14)&lt;=0,"·",IF(IF(GlobalGH,Climate!$I$14,Climate!$F$14)&gt;Crops!$M$9,"H",IF(IF(GlobalGH,Climate!$H$14,Climate!$E$14)&lt;Crops!$K$9,"C","O")))</f>
        <v>·</v>
      </c>
      <c r="L11" s="142" t="str">
        <f aca="false">IF(IF(GlobalGH,Climate!$G$15,Climate!$D$15)&lt;=0,"·",IF(IF(GlobalGH,Climate!$I$15,Climate!$F$15)&gt;Crops!$M$9,"H",IF(IF(GlobalGH,Climate!$H$15,Climate!$E$15)&lt;Crops!$K$9,"C","O")))</f>
        <v>·</v>
      </c>
      <c r="M11" s="142" t="str">
        <f aca="false">IF(IF(GlobalGH,Climate!$G$16,Climate!$D$16)&lt;=0,"·",IF(IF(GlobalGH,Climate!$I$16,Climate!$F$16)&gt;Crops!$M$9,"H",IF(IF(GlobalGH,Climate!$H$16,Climate!$E$16)&lt;Crops!$K$9,"C","O")))</f>
        <v>·</v>
      </c>
      <c r="N11" s="142" t="str">
        <f aca="false">IF(IF(GlobalGH,Climate!$G$17,Climate!$D$17)&lt;=0,"·",IF(IF(GlobalGH,Climate!$I$17,Climate!$F$17)&gt;Crops!$M$9,"H",IF(IF(GlobalGH,Climate!$H$17,Climate!$E$17)&lt;Crops!$K$9,"C","O")))</f>
        <v>·</v>
      </c>
      <c r="O11" s="142" t="str">
        <f aca="false">IF(IF(GlobalGH,Climate!$G$18,Climate!$D$18)&lt;=0,"·",IF(IF(GlobalGH,Climate!$I$18,Climate!$F$18)&gt;Crops!$M$9,"H",IF(IF(GlobalGH,Climate!$H$18,Climate!$E$18)&lt;Crops!$K$9,"C","O")))</f>
        <v>·</v>
      </c>
      <c r="P11" s="142" t="str">
        <f aca="false">IF(IF(GlobalGH,Climate!$G$19,Climate!$D$19)&lt;=0,"·",IF(IF(GlobalGH,Climate!$I$19,Climate!$F$19)&gt;Crops!$M$9,"H",IF(IF(GlobalGH,Climate!$H$19,Climate!$E$19)&lt;Crops!$K$9,"C","O")))</f>
        <v>·</v>
      </c>
      <c r="Q11" s="142" t="str">
        <f aca="false">IF(IF(GlobalGH,Climate!$G$20,Climate!$D$20)&lt;=0,"·",IF(IF(GlobalGH,Climate!$I$20,Climate!$F$20)&gt;Crops!$M$9,"H",IF(IF(GlobalGH,Climate!$H$20,Climate!$E$20)&lt;Crops!$K$9,"C","O")))</f>
        <v>·</v>
      </c>
      <c r="R11" s="142" t="str">
        <f aca="false">IF(IF(GlobalGH,Climate!$G$21,Climate!$D$21)&lt;=0,"·",IF(IF(GlobalGH,Climate!$I$21,Climate!$F$21)&gt;Crops!$M$9,"H",IF(IF(GlobalGH,Climate!$H$21,Climate!$E$21)&lt;Crops!$K$9,"C","O")))</f>
        <v>·</v>
      </c>
      <c r="S11" s="142" t="str">
        <f aca="false">IF(IF(GlobalGH,Climate!$G$22,Climate!$D$22)&lt;=0,"·",IF(IF(GlobalGH,Climate!$I$22,Climate!$F$22)&gt;Crops!$M$9,"H",IF(IF(GlobalGH,Climate!$H$22,Climate!$E$22)&lt;Crops!$K$9,"C","O")))</f>
        <v>·</v>
      </c>
      <c r="T11" s="142" t="str">
        <f aca="false">IF(IF(GlobalGH,Climate!$G$23,Climate!$D$23)&lt;=0,"·",IF(IF(GlobalGH,Climate!$I$23,Climate!$F$23)&gt;Crops!$M$9,"H",IF(IF(GlobalGH,Climate!$H$23,Climate!$E$23)&lt;Crops!$K$9,"C","O")))</f>
        <v>·</v>
      </c>
      <c r="U11" s="142" t="str">
        <f aca="false">IF(IF(GlobalGH,Climate!$G$24,Climate!$D$24)&lt;=0,"·",IF(IF(GlobalGH,Climate!$I$24,Climate!$F$24)&gt;Crops!$M$9,"H",IF(IF(GlobalGH,Climate!$H$24,Climate!$E$24)&lt;Crops!$K$9,"C","O")))</f>
        <v>·</v>
      </c>
      <c r="V11" s="142" t="str">
        <f aca="false">IF(IF(GlobalGH,Climate!$G$25,Climate!$D$25)&lt;=0,"·",IF(IF(GlobalGH,Climate!$I$25,Climate!$F$25)&gt;Crops!$M$9,"H",IF(IF(GlobalGH,Climate!$H$25,Climate!$E$25)&lt;Crops!$K$9,"C","O")))</f>
        <v>·</v>
      </c>
      <c r="W11" s="142" t="str">
        <f aca="false">IF(IF(GlobalGH,Climate!$G$26,Climate!$D$26)&lt;=0,"·",IF(IF(GlobalGH,Climate!$I$26,Climate!$F$26)&gt;Crops!$M$9,"H",IF(IF(GlobalGH,Climate!$H$26,Climate!$E$26)&lt;Crops!$K$9,"C","O")))</f>
        <v>·</v>
      </c>
      <c r="X11" s="142" t="str">
        <f aca="false">IF(IF(GlobalGH,Climate!$G$27,Climate!$D$27)&lt;=0,"·",IF(IF(GlobalGH,Climate!$I$27,Climate!$F$27)&gt;Crops!$M$9,"H",IF(IF(GlobalGH,Climate!$H$27,Climate!$E$27)&lt;Crops!$K$9,"C","O")))</f>
        <v>·</v>
      </c>
      <c r="Y11" s="142" t="str">
        <f aca="false">IF(IF(GlobalGH,Climate!$G$28,Climate!$D$28)&lt;=0,"·",IF(IF(GlobalGH,Climate!$I$28,Climate!$F$28)&gt;Crops!$M$9,"H",IF(IF(GlobalGH,Climate!$H$28,Climate!$E$28)&lt;Crops!$K$9,"C","O")))</f>
        <v>·</v>
      </c>
      <c r="Z11" s="142" t="str">
        <f aca="false">IF(IF(GlobalGH,Climate!$G$29,Climate!$D$29)&lt;=0,"·",IF(IF(GlobalGH,Climate!$I$29,Climate!$F$29)&gt;Crops!$M$9,"H",IF(IF(GlobalGH,Climate!$H$29,Climate!$E$29)&lt;Crops!$K$9,"C","O")))</f>
        <v>·</v>
      </c>
      <c r="AA11" s="142" t="str">
        <f aca="false">IF(IF(GlobalGH,Climate!$G$30,Climate!$D$30)&lt;=0,"·",IF(IF(GlobalGH,Climate!$I$30,Climate!$F$30)&gt;Crops!$M$9,"H",IF(IF(GlobalGH,Climate!$H$30,Climate!$E$30)&lt;Crops!$K$9,"C","O")))</f>
        <v>·</v>
      </c>
      <c r="AB11" s="142" t="str">
        <f aca="false">IF(IF(GlobalGH,Climate!$G$31,Climate!$D$31)&lt;=0,"·",IF(IF(GlobalGH,Climate!$I$31,Climate!$F$31)&gt;Crops!$M$9,"H",IF(IF(GlobalGH,Climate!$H$31,Climate!$E$31)&lt;Crops!$K$9,"C","O")))</f>
        <v>·</v>
      </c>
      <c r="AC11" s="142" t="str">
        <f aca="false">IF(IF(GlobalGH,Climate!$G$32,Climate!$D$32)&lt;=0,"·",IF(IF(GlobalGH,Climate!$I$32,Climate!$F$32)&gt;Crops!$M$9,"H",IF(IF(GlobalGH,Climate!$H$32,Climate!$E$32)&lt;Crops!$K$9,"C","O")))</f>
        <v>·</v>
      </c>
      <c r="AD11" s="142" t="str">
        <f aca="false">IF(IF(GlobalGH,Climate!$G$33,Climate!$D$33)&lt;=0,"·",IF(IF(GlobalGH,Climate!$I$33,Climate!$F$33)&gt;Crops!$M$9,"H",IF(IF(GlobalGH,Climate!$H$33,Climate!$E$33)&lt;Crops!$K$9,"C","O")))</f>
        <v>·</v>
      </c>
      <c r="AE11" s="142" t="str">
        <f aca="false">IF(IF(GlobalGH,Climate!$G$34,Climate!$D$34)&lt;=0,"·",IF(IF(GlobalGH,Climate!$I$34,Climate!$F$34)&gt;Crops!$M$9,"H",IF(IF(GlobalGH,Climate!$H$34,Climate!$E$34)&lt;Crops!$K$9,"C","O")))</f>
        <v>·</v>
      </c>
      <c r="AF11" s="142" t="str">
        <f aca="false">IF(IF(GlobalGH,Climate!$G$35,Climate!$D$35)&lt;=0,"·",IF(IF(GlobalGH,Climate!$I$35,Climate!$F$35)&gt;Crops!$M$9,"H",IF(IF(GlobalGH,Climate!$H$35,Climate!$E$35)&lt;Crops!$K$9,"C","O")))</f>
        <v>·</v>
      </c>
      <c r="AG11" s="142" t="str">
        <f aca="false">IF(IF(GlobalGH,Climate!$G$36,Climate!$D$36)&lt;=0,"·",IF(IF(GlobalGH,Climate!$I$36,Climate!$F$36)&gt;Crops!$M$9,"H",IF(IF(GlobalGH,Climate!$H$36,Climate!$E$36)&lt;Crops!$K$9,"C","O")))</f>
        <v>·</v>
      </c>
      <c r="AH11" s="142" t="str">
        <f aca="false">IF(IF(GlobalGH,Climate!$G$37,Climate!$D$37)&lt;=0,"·",IF(IF(GlobalGH,Climate!$I$37,Climate!$F$37)&gt;Crops!$M$9,"H",IF(IF(GlobalGH,Climate!$H$37,Climate!$E$37)&lt;Crops!$K$9,"C","O")))</f>
        <v>·</v>
      </c>
      <c r="AI11" s="142" t="str">
        <f aca="false">IF(IF(GlobalGH,Climate!$G$38,Climate!$D$38)&lt;=0,"·",IF(IF(GlobalGH,Climate!$I$38,Climate!$F$38)&gt;Crops!$M$9,"H",IF(IF(GlobalGH,Climate!$H$38,Climate!$E$38)&lt;Crops!$K$9,"C","O")))</f>
        <v>C</v>
      </c>
      <c r="AJ11" s="142" t="str">
        <f aca="false">IF(IF(GlobalGH,Climate!$G$39,Climate!$D$39)&lt;=0,"·",IF(IF(GlobalGH,Climate!$I$39,Climate!$F$39)&gt;Crops!$M$9,"H",IF(IF(GlobalGH,Climate!$H$39,Climate!$E$39)&lt;Crops!$K$9,"C","O")))</f>
        <v>C</v>
      </c>
      <c r="AK11" s="142" t="str">
        <f aca="false">IF(IF(GlobalGH,Climate!$G$40,Climate!$D$40)&lt;=0,"·",IF(IF(GlobalGH,Climate!$I$40,Climate!$F$40)&gt;Crops!$M$9,"H",IF(IF(GlobalGH,Climate!$H$40,Climate!$E$40)&lt;Crops!$K$9,"C","O")))</f>
        <v>O</v>
      </c>
      <c r="AL11" s="142" t="str">
        <f aca="false">IF(IF(GlobalGH,Climate!$G$41,Climate!$D$41)&lt;=0,"·",IF(IF(GlobalGH,Climate!$I$41,Climate!$F$41)&gt;Crops!$M$9,"H",IF(IF(GlobalGH,Climate!$H$41,Climate!$E$41)&lt;Crops!$K$9,"C","O")))</f>
        <v>O</v>
      </c>
      <c r="AM11" s="142" t="str">
        <f aca="false">IF(IF(GlobalGH,Climate!$G$42,Climate!$D$42)&lt;=0,"·",IF(IF(GlobalGH,Climate!$I$42,Climate!$F$42)&gt;Crops!$M$9,"H",IF(IF(GlobalGH,Climate!$H$42,Climate!$E$42)&lt;Crops!$K$9,"C","O")))</f>
        <v>O</v>
      </c>
      <c r="AN11" s="142" t="str">
        <f aca="false">IF(IF(GlobalGH,Climate!$G$43,Climate!$D$43)&lt;=0,"·",IF(IF(GlobalGH,Climate!$I$43,Climate!$F$43)&gt;Crops!$M$9,"H",IF(IF(GlobalGH,Climate!$H$43,Climate!$E$43)&lt;Crops!$K$9,"C","O")))</f>
        <v>O</v>
      </c>
      <c r="AO11" s="142" t="str">
        <f aca="false">IF(IF(GlobalGH,Climate!$G$44,Climate!$D$44)&lt;=0,"·",IF(IF(GlobalGH,Climate!$I$44,Climate!$F$44)&gt;Crops!$M$9,"H",IF(IF(GlobalGH,Climate!$H$44,Climate!$E$44)&lt;Crops!$K$9,"C","O")))</f>
        <v>O</v>
      </c>
      <c r="AP11" s="142" t="str">
        <f aca="false">IF(IF(GlobalGH,Climate!$G$45,Climate!$D$45)&lt;=0,"·",IF(IF(GlobalGH,Climate!$I$45,Climate!$F$45)&gt;Crops!$M$9,"H",IF(IF(GlobalGH,Climate!$H$45,Climate!$E$45)&lt;Crops!$K$9,"C","O")))</f>
        <v>O</v>
      </c>
      <c r="AQ11" s="142" t="str">
        <f aca="false">IF(IF(GlobalGH,Climate!$G$46,Climate!$D$46)&lt;=0,"·",IF(IF(GlobalGH,Climate!$I$46,Climate!$F$46)&gt;Crops!$M$9,"H",IF(IF(GlobalGH,Climate!$H$46,Climate!$E$46)&lt;Crops!$K$9,"C","O")))</f>
        <v>O</v>
      </c>
      <c r="AR11" s="142" t="str">
        <f aca="false">IF(IF(GlobalGH,Climate!$G$47,Climate!$D$47)&lt;=0,"·",IF(IF(GlobalGH,Climate!$I$47,Climate!$F$47)&gt;Crops!$M$9,"H",IF(IF(GlobalGH,Climate!$H$47,Climate!$E$47)&lt;Crops!$K$9,"C","O")))</f>
        <v>O</v>
      </c>
      <c r="AS11" s="142" t="str">
        <f aca="false">IF(IF(GlobalGH,Climate!$G$48,Climate!$D$48)&lt;=0,"·",IF(IF(GlobalGH,Climate!$I$48,Climate!$F$48)&gt;Crops!$M$9,"H",IF(IF(GlobalGH,Climate!$H$48,Climate!$E$48)&lt;Crops!$K$9,"C","O")))</f>
        <v>O</v>
      </c>
      <c r="AT11" s="142" t="str">
        <f aca="false">IF(IF(GlobalGH,Climate!$G$49,Climate!$D$49)&lt;=0,"·",IF(IF(GlobalGH,Climate!$I$49,Climate!$F$49)&gt;Crops!$M$9,"H",IF(IF(GlobalGH,Climate!$H$49,Climate!$E$49)&lt;Crops!$K$9,"C","O")))</f>
        <v>O</v>
      </c>
      <c r="AU11" s="142" t="str">
        <f aca="false">IF(IF(GlobalGH,Climate!$G$50,Climate!$D$50)&lt;=0,"·",IF(IF(GlobalGH,Climate!$I$50,Climate!$F$50)&gt;Crops!$M$9,"H",IF(IF(GlobalGH,Climate!$H$50,Climate!$E$50)&lt;Crops!$K$9,"C","O")))</f>
        <v>O</v>
      </c>
      <c r="AV11" s="142" t="str">
        <f aca="false">IF(IF(GlobalGH,Climate!$G$51,Climate!$D$51)&lt;=0,"·",IF(IF(GlobalGH,Climate!$I$51,Climate!$F$51)&gt;Crops!$M$9,"H",IF(IF(GlobalGH,Climate!$H$51,Climate!$E$51)&lt;Crops!$K$9,"C","O")))</f>
        <v>O</v>
      </c>
      <c r="AW11" s="142" t="str">
        <f aca="false">IF(IF(GlobalGH,Climate!$G$52,Climate!$D$52)&lt;=0,"·",IF(IF(GlobalGH,Climate!$I$52,Climate!$F$52)&gt;Crops!$M$9,"H",IF(IF(GlobalGH,Climate!$H$52,Climate!$E$52)&lt;Crops!$K$9,"C","O")))</f>
        <v>O</v>
      </c>
      <c r="AX11" s="142" t="str">
        <f aca="false">IF(IF(GlobalGH,Climate!$G$53,Climate!$D$53)&lt;=0,"·",IF(IF(GlobalGH,Climate!$I$53,Climate!$F$53)&gt;Crops!$M$9,"H",IF(IF(GlobalGH,Climate!$H$53,Climate!$E$53)&lt;Crops!$K$9,"C","O")))</f>
        <v>O</v>
      </c>
      <c r="AY11" s="142" t="str">
        <f aca="false">IF(IF(GlobalGH,Climate!$G$54,Climate!$D$54)&lt;=0,"·",IF(IF(GlobalGH,Climate!$I$54,Climate!$F$54)&gt;Crops!$M$9,"H",IF(IF(GlobalGH,Climate!$H$54,Climate!$E$54)&lt;Crops!$K$9,"C","O")))</f>
        <v>O</v>
      </c>
      <c r="AZ11" s="142" t="str">
        <f aca="false">IF(IF(GlobalGH,Climate!$G$55,Climate!$D$55)&lt;=0,"·",IF(IF(GlobalGH,Climate!$I$55,Climate!$F$55)&gt;Crops!$M$9,"H",IF(IF(GlobalGH,Climate!$H$55,Climate!$E$55)&lt;Crops!$K$9,"C","O")))</f>
        <v>O</v>
      </c>
      <c r="BA11" s="142" t="str">
        <f aca="false">IF(IF(GlobalGH,Climate!$G$56,Climate!$D$56)&lt;=0,"·",IF(IF(GlobalGH,Climate!$I$56,Climate!$F$56)&gt;Crops!$M$9,"H",IF(IF(GlobalGH,Climate!$H$56,Climate!$E$56)&lt;Crops!$K$9,"C","O")))</f>
        <v>O</v>
      </c>
      <c r="BB11" s="142" t="str">
        <f aca="false">IF(IF(GlobalGH,Climate!$G$57,Climate!$D$57)&lt;=0,"·",IF(IF(GlobalGH,Climate!$I$57,Climate!$F$57)&gt;Crops!$M$9,"H",IF(IF(GlobalGH,Climate!$H$57,Climate!$E$57)&lt;Crops!$K$9,"C","O")))</f>
        <v>O</v>
      </c>
      <c r="BC11" s="142" t="str">
        <f aca="false">IF(IF(GlobalGH,Climate!$G$58,Climate!$D$58)&lt;=0,"·",IF(IF(GlobalGH,Climate!$I$58,Climate!$F$58)&gt;Crops!$M$9,"H",IF(IF(GlobalGH,Climate!$H$58,Climate!$E$58)&lt;Crops!$K$9,"C","O")))</f>
        <v>O</v>
      </c>
      <c r="BD11" s="142" t="str">
        <f aca="false">IF(IF(GlobalGH,Climate!$G$59,Climate!$D$59)&lt;=0,"·",IF(IF(GlobalGH,Climate!$I$59,Climate!$F$59)&gt;Crops!$M$9,"H",IF(IF(GlobalGH,Climate!$H$59,Climate!$E$59)&lt;Crops!$K$9,"C","O")))</f>
        <v>O</v>
      </c>
      <c r="BE11" s="142" t="str">
        <f aca="false">IF(IF(GlobalGH,Climate!$G$60,Climate!$D$60)&lt;=0,"·",IF(IF(GlobalGH,Climate!$I$60,Climate!$F$60)&gt;Crops!$M$9,"H",IF(IF(GlobalGH,Climate!$H$60,Climate!$E$60)&lt;Crops!$K$9,"C","O")))</f>
        <v>O</v>
      </c>
      <c r="BF11" s="142" t="str">
        <f aca="false">IF(IF(GlobalGH,Climate!$G$61,Climate!$D$61)&lt;=0,"·",IF(IF(GlobalGH,Climate!$I$61,Climate!$F$61)&gt;Crops!$M$9,"H",IF(IF(GlobalGH,Climate!$H$61,Climate!$E$61)&lt;Crops!$K$9,"C","O")))</f>
        <v>O</v>
      </c>
      <c r="BG11" s="142" t="str">
        <f aca="false">IF(IF(GlobalGH,Climate!$G$62,Climate!$D$62)&lt;=0,"·",IF(IF(GlobalGH,Climate!$I$62,Climate!$F$62)&gt;Crops!$M$9,"H",IF(IF(GlobalGH,Climate!$H$62,Climate!$E$62)&lt;Crops!$K$9,"C","O")))</f>
        <v>O</v>
      </c>
      <c r="BH11" s="142" t="str">
        <f aca="false">IF(IF(GlobalGH,Climate!$G$63,Climate!$D$63)&lt;=0,"·",IF(IF(GlobalGH,Climate!$I$63,Climate!$F$63)&gt;Crops!$M$9,"H",IF(IF(GlobalGH,Climate!$H$63,Climate!$E$63)&lt;Crops!$K$9,"C","O")))</f>
        <v>O</v>
      </c>
      <c r="BI11" s="142" t="str">
        <f aca="false">IF(IF(GlobalGH,Climate!$G$64,Climate!$D$64)&lt;=0,"·",IF(IF(GlobalGH,Climate!$I$64,Climate!$F$64)&gt;Crops!$M$9,"H",IF(IF(GlobalGH,Climate!$H$64,Climate!$E$64)&lt;Crops!$K$9,"C","O")))</f>
        <v>O</v>
      </c>
      <c r="BJ11" s="142" t="str">
        <f aca="false">IF(IF(GlobalGH,Climate!$G$65,Climate!$D$65)&lt;=0,"·",IF(IF(GlobalGH,Climate!$I$65,Climate!$F$65)&gt;Crops!$M$9,"H",IF(IF(GlobalGH,Climate!$H$65,Climate!$E$65)&lt;Crops!$K$9,"C","O")))</f>
        <v>O</v>
      </c>
      <c r="BK11" s="142" t="str">
        <f aca="false">IF(IF(GlobalGH,Climate!$G$66,Climate!$D$66)&lt;=0,"·",IF(IF(GlobalGH,Climate!$I$66,Climate!$F$66)&gt;Crops!$M$9,"H",IF(IF(GlobalGH,Climate!$H$66,Climate!$E$66)&lt;Crops!$K$9,"C","O")))</f>
        <v>O</v>
      </c>
      <c r="BL11" s="142" t="str">
        <f aca="false">IF(IF(GlobalGH,Climate!$G$67,Climate!$D$67)&lt;=0,"·",IF(IF(GlobalGH,Climate!$I$67,Climate!$F$67)&gt;Crops!$M$9,"H",IF(IF(GlobalGH,Climate!$H$67,Climate!$E$67)&lt;Crops!$K$9,"C","O")))</f>
        <v>O</v>
      </c>
      <c r="BM11" s="142" t="str">
        <f aca="false">IF(IF(GlobalGH,Climate!$G$68,Climate!$D$68)&lt;=0,"·",IF(IF(GlobalGH,Climate!$I$68,Climate!$F$68)&gt;Crops!$M$9,"H",IF(IF(GlobalGH,Climate!$H$68,Climate!$E$68)&lt;Crops!$K$9,"C","O")))</f>
        <v>O</v>
      </c>
      <c r="BN11" s="142" t="str">
        <f aca="false">IF(IF(GlobalGH,Climate!$G$69,Climate!$D$69)&lt;=0,"·",IF(IF(GlobalGH,Climate!$I$69,Climate!$F$69)&gt;Crops!$M$9,"H",IF(IF(GlobalGH,Climate!$H$69,Climate!$E$69)&lt;Crops!$K$9,"C","O")))</f>
        <v>O</v>
      </c>
      <c r="BO11" s="142" t="str">
        <f aca="false">IF(IF(GlobalGH,Climate!$G$70,Climate!$D$70)&lt;=0,"·",IF(IF(GlobalGH,Climate!$I$70,Climate!$F$70)&gt;Crops!$M$9,"H",IF(IF(GlobalGH,Climate!$H$70,Climate!$E$70)&lt;Crops!$K$9,"C","O")))</f>
        <v>O</v>
      </c>
      <c r="BP11" s="142" t="str">
        <f aca="false">IF(IF(GlobalGH,Climate!$G$71,Climate!$D$71)&lt;=0,"·",IF(IF(GlobalGH,Climate!$I$71,Climate!$F$71)&gt;Crops!$M$9,"H",IF(IF(GlobalGH,Climate!$H$71,Climate!$E$71)&lt;Crops!$K$9,"C","O")))</f>
        <v>O</v>
      </c>
      <c r="BQ11" s="142" t="str">
        <f aca="false">IF(IF(GlobalGH,Climate!$G$72,Climate!$D$72)&lt;=0,"·",IF(IF(GlobalGH,Climate!$I$72,Climate!$F$72)&gt;Crops!$M$9,"H",IF(IF(GlobalGH,Climate!$H$72,Climate!$E$72)&lt;Crops!$K$9,"C","O")))</f>
        <v>O</v>
      </c>
      <c r="BR11" s="142" t="str">
        <f aca="false">IF(IF(GlobalGH,Climate!$G$73,Climate!$D$73)&lt;=0,"·",IF(IF(GlobalGH,Climate!$I$73,Climate!$F$73)&gt;Crops!$M$9,"H",IF(IF(GlobalGH,Climate!$H$73,Climate!$E$73)&lt;Crops!$K$9,"C","O")))</f>
        <v>O</v>
      </c>
      <c r="BS11" s="142" t="str">
        <f aca="false">IF(IF(GlobalGH,Climate!$G$74,Climate!$D$74)&lt;=0,"·",IF(IF(GlobalGH,Climate!$I$74,Climate!$F$74)&gt;Crops!$M$9,"H",IF(IF(GlobalGH,Climate!$H$74,Climate!$E$74)&lt;Crops!$K$9,"C","O")))</f>
        <v>O</v>
      </c>
      <c r="BT11" s="142" t="str">
        <f aca="false">IF(IF(GlobalGH,Climate!$G$75,Climate!$D$75)&lt;=0,"·",IF(IF(GlobalGH,Climate!$I$75,Climate!$F$75)&gt;Crops!$M$9,"H",IF(IF(GlobalGH,Climate!$H$75,Climate!$E$75)&lt;Crops!$K$9,"C","O")))</f>
        <v>O</v>
      </c>
      <c r="BU11" s="142" t="str">
        <f aca="false">IF(IF(GlobalGH,Climate!$G$76,Climate!$D$76)&lt;=0,"·",IF(IF(GlobalGH,Climate!$I$76,Climate!$F$76)&gt;Crops!$M$9,"H",IF(IF(GlobalGH,Climate!$H$76,Climate!$E$76)&lt;Crops!$K$9,"C","O")))</f>
        <v>O</v>
      </c>
      <c r="BV11" s="142" t="str">
        <f aca="false">IF(IF(GlobalGH,Climate!$G$77,Climate!$D$77)&lt;=0,"·",IF(IF(GlobalGH,Climate!$I$77,Climate!$F$77)&gt;Crops!$M$9,"H",IF(IF(GlobalGH,Climate!$H$77,Climate!$E$77)&lt;Crops!$K$9,"C","O")))</f>
        <v>O</v>
      </c>
      <c r="BW11" s="142" t="str">
        <f aca="false">IF(IF(GlobalGH,Climate!$G$78,Climate!$D$78)&lt;=0,"·",IF(IF(GlobalGH,Climate!$I$78,Climate!$F$78)&gt;Crops!$M$9,"H",IF(IF(GlobalGH,Climate!$H$78,Climate!$E$78)&lt;Crops!$K$9,"C","O")))</f>
        <v>O</v>
      </c>
      <c r="BX11" s="142" t="str">
        <f aca="false">IF(IF(GlobalGH,Climate!$G$79,Climate!$D$79)&lt;=0,"·",IF(IF(GlobalGH,Climate!$I$79,Climate!$F$79)&gt;Crops!$M$9,"H",IF(IF(GlobalGH,Climate!$H$79,Climate!$E$79)&lt;Crops!$K$9,"C","O")))</f>
        <v>O</v>
      </c>
      <c r="BY11" s="142" t="str">
        <f aca="false">IF(IF(GlobalGH,Climate!$G$80,Climate!$D$80)&lt;=0,"·",IF(IF(GlobalGH,Climate!$I$80,Climate!$F$80)&gt;Crops!$M$9,"H",IF(IF(GlobalGH,Climate!$H$80,Climate!$E$80)&lt;Crops!$K$9,"C","O")))</f>
        <v>O</v>
      </c>
      <c r="BZ11" s="142" t="str">
        <f aca="false">IF(IF(GlobalGH,Climate!$G$81,Climate!$D$81)&lt;=0,"·",IF(IF(GlobalGH,Climate!$I$81,Climate!$F$81)&gt;Crops!$M$9,"H",IF(IF(GlobalGH,Climate!$H$81,Climate!$E$81)&lt;Crops!$K$9,"C","O")))</f>
        <v>O</v>
      </c>
      <c r="CA11" s="142" t="str">
        <f aca="false">IF(IF(GlobalGH,Climate!$G$82,Climate!$D$82)&lt;=0,"·",IF(IF(GlobalGH,Climate!$I$82,Climate!$F$82)&gt;Crops!$M$9,"H",IF(IF(GlobalGH,Climate!$H$82,Climate!$E$82)&lt;Crops!$K$9,"C","O")))</f>
        <v>O</v>
      </c>
      <c r="CB11" s="142" t="str">
        <f aca="false">IF(IF(GlobalGH,Climate!$G$83,Climate!$D$83)&lt;=0,"·",IF(IF(GlobalGH,Climate!$I$83,Climate!$F$83)&gt;Crops!$M$9,"H",IF(IF(GlobalGH,Climate!$H$83,Climate!$E$83)&lt;Crops!$K$9,"C","O")))</f>
        <v>O</v>
      </c>
      <c r="CC11" s="142" t="str">
        <f aca="false">IF(IF(GlobalGH,Climate!$G$84,Climate!$D$84)&lt;=0,"·",IF(IF(GlobalGH,Climate!$I$84,Climate!$F$84)&gt;Crops!$M$9,"H",IF(IF(GlobalGH,Climate!$H$84,Climate!$E$84)&lt;Crops!$K$9,"C","O")))</f>
        <v>O</v>
      </c>
      <c r="CD11" s="142" t="str">
        <f aca="false">IF(IF(GlobalGH,Climate!$G$85,Climate!$D$85)&lt;=0,"·",IF(IF(GlobalGH,Climate!$I$85,Climate!$F$85)&gt;Crops!$M$9,"H",IF(IF(GlobalGH,Climate!$H$85,Climate!$E$85)&lt;Crops!$K$9,"C","O")))</f>
        <v>O</v>
      </c>
      <c r="CE11" s="142" t="str">
        <f aca="false">IF(IF(GlobalGH,Climate!$G$86,Climate!$D$86)&lt;=0,"·",IF(IF(GlobalGH,Climate!$I$86,Climate!$F$86)&gt;Crops!$M$9,"H",IF(IF(GlobalGH,Climate!$H$86,Climate!$E$86)&lt;Crops!$K$9,"C","O")))</f>
        <v>O</v>
      </c>
      <c r="CF11" s="142" t="str">
        <f aca="false">IF(IF(GlobalGH,Climate!$G$87,Climate!$D$87)&lt;=0,"·",IF(IF(GlobalGH,Climate!$I$87,Climate!$F$87)&gt;Crops!$M$9,"H",IF(IF(GlobalGH,Climate!$H$87,Climate!$E$87)&lt;Crops!$K$9,"C","O")))</f>
        <v>O</v>
      </c>
      <c r="CG11" s="142" t="str">
        <f aca="false">IF(IF(GlobalGH,Climate!$G$88,Climate!$D$88)&lt;=0,"·",IF(IF(GlobalGH,Climate!$I$88,Climate!$F$88)&gt;Crops!$M$9,"H",IF(IF(GlobalGH,Climate!$H$88,Climate!$E$88)&lt;Crops!$K$9,"C","O")))</f>
        <v>·</v>
      </c>
      <c r="CH11" s="142" t="str">
        <f aca="false">IF(IF(GlobalGH,Climate!$G$89,Climate!$D$89)&lt;=0,"·",IF(IF(GlobalGH,Climate!$I$89,Climate!$F$89)&gt;Crops!$M$9,"H",IF(IF(GlobalGH,Climate!$H$89,Climate!$E$89)&lt;Crops!$K$9,"C","O")))</f>
        <v>·</v>
      </c>
      <c r="CI11" s="142" t="str">
        <f aca="false">IF(IF(GlobalGH,Climate!$G$90,Climate!$D$90)&lt;=0,"·",IF(IF(GlobalGH,Climate!$I$90,Climate!$F$90)&gt;Crops!$M$9,"H",IF(IF(GlobalGH,Climate!$H$90,Climate!$E$90)&lt;Crops!$K$9,"C","O")))</f>
        <v>·</v>
      </c>
      <c r="CJ11" s="142" t="str">
        <f aca="false">IF(IF(GlobalGH,Climate!$G$91,Climate!$D$91)&lt;=0,"·",IF(IF(GlobalGH,Climate!$I$91,Climate!$F$91)&gt;Crops!$M$9,"H",IF(IF(GlobalGH,Climate!$H$91,Climate!$E$91)&lt;Crops!$K$9,"C","O")))</f>
        <v>·</v>
      </c>
      <c r="CK11" s="142" t="str">
        <f aca="false">IF(IF(GlobalGH,Climate!$G$92,Climate!$D$92)&lt;=0,"·",IF(IF(GlobalGH,Climate!$I$92,Climate!$F$92)&gt;Crops!$M$9,"H",IF(IF(GlobalGH,Climate!$H$92,Climate!$E$92)&lt;Crops!$K$9,"C","O")))</f>
        <v>·</v>
      </c>
      <c r="CL11" s="142" t="str">
        <f aca="false">IF(IF(GlobalGH,Climate!$G$93,Climate!$D$93)&lt;=0,"·",IF(IF(GlobalGH,Climate!$I$93,Climate!$F$93)&gt;Crops!$M$9,"H",IF(IF(GlobalGH,Climate!$H$93,Climate!$E$93)&lt;Crops!$K$9,"C","O")))</f>
        <v>·</v>
      </c>
      <c r="CM11" s="142" t="str">
        <f aca="false">IF(IF(GlobalGH,Climate!$G$94,Climate!$D$94)&lt;=0,"·",IF(IF(GlobalGH,Climate!$I$94,Climate!$F$94)&gt;Crops!$M$9,"H",IF(IF(GlobalGH,Climate!$H$94,Climate!$E$94)&lt;Crops!$K$9,"C","O")))</f>
        <v>·</v>
      </c>
      <c r="CN11" s="142" t="str">
        <f aca="false">IF(IF(GlobalGH,Climate!$G$95,Climate!$D$95)&lt;=0,"·",IF(IF(GlobalGH,Climate!$I$95,Climate!$F$95)&gt;Crops!$M$9,"H",IF(IF(GlobalGH,Climate!$H$95,Climate!$E$95)&lt;Crops!$K$9,"C","O")))</f>
        <v>·</v>
      </c>
      <c r="CO11" s="142" t="str">
        <f aca="false">IF(IF(GlobalGH,Climate!$G$96,Climate!$D$96)&lt;=0,"·",IF(IF(GlobalGH,Climate!$I$96,Climate!$F$96)&gt;Crops!$M$9,"H",IF(IF(GlobalGH,Climate!$H$96,Climate!$E$96)&lt;Crops!$K$9,"C","O")))</f>
        <v>·</v>
      </c>
      <c r="CP11" s="142" t="str">
        <f aca="false">IF(IF(GlobalGH,Climate!$G$97,Climate!$D$97)&lt;=0,"·",IF(IF(GlobalGH,Climate!$I$97,Climate!$F$97)&gt;Crops!$M$9,"H",IF(IF(GlobalGH,Climate!$H$97,Climate!$E$97)&lt;Crops!$K$9,"C","O")))</f>
        <v>·</v>
      </c>
      <c r="CQ11" s="142" t="str">
        <f aca="false">IF(IF(GlobalGH,Climate!$G$98,Climate!$D$98)&lt;=0,"·",IF(IF(GlobalGH,Climate!$I$98,Climate!$F$98)&gt;Crops!$M$9,"H",IF(IF(GlobalGH,Climate!$H$98,Climate!$E$98)&lt;Crops!$K$9,"C","O")))</f>
        <v>·</v>
      </c>
      <c r="CR11" s="142" t="str">
        <f aca="false">IF(IF(GlobalGH,Climate!$G$99,Climate!$D$99)&lt;=0,"·",IF(IF(GlobalGH,Climate!$I$99,Climate!$F$99)&gt;Crops!$M$9,"H",IF(IF(GlobalGH,Climate!$H$99,Climate!$E$99)&lt;Crops!$K$9,"C","O")))</f>
        <v>·</v>
      </c>
      <c r="CS11" s="142" t="str">
        <f aca="false">IF(IF(GlobalGH,Climate!$G$100,Climate!$D$100)&lt;=0,"·",IF(IF(GlobalGH,Climate!$I$100,Climate!$F$100)&gt;Crops!$M$9,"H",IF(IF(GlobalGH,Climate!$H$100,Climate!$E$100)&lt;Crops!$K$9,"C","O")))</f>
        <v>·</v>
      </c>
      <c r="CT11" s="142" t="str">
        <f aca="false">IF(IF(GlobalGH,Climate!$G$101,Climate!$D$101)&lt;=0,"·",IF(IF(GlobalGH,Climate!$I$101,Climate!$F$101)&gt;Crops!$M$9,"H",IF(IF(GlobalGH,Climate!$H$101,Climate!$E$101)&lt;Crops!$K$9,"C","O")))</f>
        <v>·</v>
      </c>
      <c r="CU11" s="142" t="str">
        <f aca="false">IF(IF(GlobalGH,Climate!$G$102,Climate!$D$102)&lt;=0,"·",IF(IF(GlobalGH,Climate!$I$102,Climate!$F$102)&gt;Crops!$M$9,"H",IF(IF(GlobalGH,Climate!$H$102,Climate!$E$102)&lt;Crops!$K$9,"C","O")))</f>
        <v>·</v>
      </c>
      <c r="CV11" s="142" t="str">
        <f aca="false">IF(IF(GlobalGH,Climate!$G$103,Climate!$D$103)&lt;=0,"·",IF(IF(GlobalGH,Climate!$I$103,Climate!$F$103)&gt;Crops!$M$9,"H",IF(IF(GlobalGH,Climate!$H$103,Climate!$E$103)&lt;Crops!$K$9,"C","O")))</f>
        <v>·</v>
      </c>
      <c r="CW11" s="142" t="str">
        <f aca="false">IF(IF(GlobalGH,Climate!$G$104,Climate!$D$104)&lt;=0,"·",IF(IF(GlobalGH,Climate!$I$104,Climate!$F$104)&gt;Crops!$M$9,"H",IF(IF(GlobalGH,Climate!$H$104,Climate!$E$104)&lt;Crops!$K$9,"C","O")))</f>
        <v>·</v>
      </c>
      <c r="CX11" s="142" t="str">
        <f aca="false">IF(IF(GlobalGH,Climate!$G$105,Climate!$D$105)&lt;=0,"·",IF(IF(GlobalGH,Climate!$I$105,Climate!$F$105)&gt;Crops!$M$9,"H",IF(IF(GlobalGH,Climate!$H$105,Climate!$E$105)&lt;Crops!$K$9,"C","O")))</f>
        <v>·</v>
      </c>
      <c r="CY11" s="142" t="str">
        <f aca="false">IF(IF(GlobalGH,Climate!$G$106,Climate!$D$106)&lt;=0,"·",IF(IF(GlobalGH,Climate!$I$106,Climate!$F$106)&gt;Crops!$M$9,"H",IF(IF(GlobalGH,Climate!$H$106,Climate!$E$106)&lt;Crops!$K$9,"C","O")))</f>
        <v>·</v>
      </c>
      <c r="CZ11" s="142" t="str">
        <f aca="false">IF(IF(GlobalGH,Climate!$G$107,Climate!$D$107)&lt;=0,"·",IF(IF(GlobalGH,Climate!$I$107,Climate!$F$107)&gt;Crops!$M$9,"H",IF(IF(GlobalGH,Climate!$H$107,Climate!$E$107)&lt;Crops!$K$9,"C","O")))</f>
        <v>·</v>
      </c>
      <c r="DA11" s="142" t="str">
        <f aca="false">IF(IF(GlobalGH,Climate!$G$108,Climate!$D$108)&lt;=0,"·",IF(IF(GlobalGH,Climate!$I$108,Climate!$F$108)&gt;Crops!$M$9,"H",IF(IF(GlobalGH,Climate!$H$108,Climate!$E$108)&lt;Crops!$K$9,"C","O")))</f>
        <v>·</v>
      </c>
      <c r="DB11" s="142" t="str">
        <f aca="false">IF(IF(GlobalGH,Climate!$G$109,Climate!$D$109)&lt;=0,"·",IF(IF(GlobalGH,Climate!$I$109,Climate!$F$109)&gt;Crops!$M$9,"H",IF(IF(GlobalGH,Climate!$H$109,Climate!$E$109)&lt;Crops!$K$9,"C","O")))</f>
        <v>·</v>
      </c>
      <c r="DC11" s="142" t="str">
        <f aca="false">IF(IF(GlobalGH,Climate!$G$110,Climate!$D$110)&lt;=0,"·",IF(IF(GlobalGH,Climate!$I$110,Climate!$F$110)&gt;Crops!$M$9,"H",IF(IF(GlobalGH,Climate!$H$110,Climate!$E$110)&lt;Crops!$K$9,"C","O")))</f>
        <v>·</v>
      </c>
      <c r="DD11" s="142" t="str">
        <f aca="false">IF(IF(GlobalGH,Climate!$G$111,Climate!$D$111)&lt;=0,"·",IF(IF(GlobalGH,Climate!$I$111,Climate!$F$111)&gt;Crops!$M$9,"H",IF(IF(GlobalGH,Climate!$H$111,Climate!$E$111)&lt;Crops!$K$9,"C","O")))</f>
        <v>·</v>
      </c>
      <c r="DE11" s="142" t="str">
        <f aca="false">IF(IF(GlobalGH,Climate!$G$112,Climate!$D$112)&lt;=0,"·",IF(IF(GlobalGH,Climate!$I$112,Climate!$F$112)&gt;Crops!$M$9,"H",IF(IF(GlobalGH,Climate!$H$112,Climate!$E$112)&lt;Crops!$K$9,"C","O")))</f>
        <v>·</v>
      </c>
      <c r="DF11" s="143" t="n">
        <f aca="false">COUNTIF(B11:DE11,"O")</f>
        <v>48</v>
      </c>
      <c r="DG11" s="139" t="s">
        <v>421</v>
      </c>
    </row>
    <row r="12" customFormat="false" ht="15" hidden="false" customHeight="true" outlineLevel="0" collapsed="false">
      <c r="A12" s="144" t="str">
        <f aca="false">Crops!$B$10</f>
        <v>Onion</v>
      </c>
      <c r="B12" s="142" t="str">
        <f aca="false">IF(IF(GlobalGH,Climate!$G$5,Climate!$D$5)&lt;=0,"·",IF(IF(GlobalGH,Climate!$I$5,Climate!$F$5)&gt;Crops!$M$10,"H",IF(IF(GlobalGH,Climate!$H$5,Climate!$E$5)&lt;Crops!$K$10,"C","O")))</f>
        <v>·</v>
      </c>
      <c r="C12" s="142" t="str">
        <f aca="false">IF(IF(GlobalGH,Climate!$G$6,Climate!$D$6)&lt;=0,"·",IF(IF(GlobalGH,Climate!$I$6,Climate!$F$6)&gt;Crops!$M$10,"H",IF(IF(GlobalGH,Climate!$H$6,Climate!$E$6)&lt;Crops!$K$10,"C","O")))</f>
        <v>·</v>
      </c>
      <c r="D12" s="142" t="str">
        <f aca="false">IF(IF(GlobalGH,Climate!$G$7,Climate!$D$7)&lt;=0,"·",IF(IF(GlobalGH,Climate!$I$7,Climate!$F$7)&gt;Crops!$M$10,"H",IF(IF(GlobalGH,Climate!$H$7,Climate!$E$7)&lt;Crops!$K$10,"C","O")))</f>
        <v>·</v>
      </c>
      <c r="E12" s="142" t="str">
        <f aca="false">IF(IF(GlobalGH,Climate!$G$8,Climate!$D$8)&lt;=0,"·",IF(IF(GlobalGH,Climate!$I$8,Climate!$F$8)&gt;Crops!$M$10,"H",IF(IF(GlobalGH,Climate!$H$8,Climate!$E$8)&lt;Crops!$K$10,"C","O")))</f>
        <v>·</v>
      </c>
      <c r="F12" s="142" t="str">
        <f aca="false">IF(IF(GlobalGH,Climate!$G$9,Climate!$D$9)&lt;=0,"·",IF(IF(GlobalGH,Climate!$I$9,Climate!$F$9)&gt;Crops!$M$10,"H",IF(IF(GlobalGH,Climate!$H$9,Climate!$E$9)&lt;Crops!$K$10,"C","O")))</f>
        <v>·</v>
      </c>
      <c r="G12" s="142" t="str">
        <f aca="false">IF(IF(GlobalGH,Climate!$G$10,Climate!$D$10)&lt;=0,"·",IF(IF(GlobalGH,Climate!$I$10,Climate!$F$10)&gt;Crops!$M$10,"H",IF(IF(GlobalGH,Climate!$H$10,Climate!$E$10)&lt;Crops!$K$10,"C","O")))</f>
        <v>·</v>
      </c>
      <c r="H12" s="142" t="str">
        <f aca="false">IF(IF(GlobalGH,Climate!$G$11,Climate!$D$11)&lt;=0,"·",IF(IF(GlobalGH,Climate!$I$11,Climate!$F$11)&gt;Crops!$M$10,"H",IF(IF(GlobalGH,Climate!$H$11,Climate!$E$11)&lt;Crops!$K$10,"C","O")))</f>
        <v>·</v>
      </c>
      <c r="I12" s="142" t="str">
        <f aca="false">IF(IF(GlobalGH,Climate!$G$12,Climate!$D$12)&lt;=0,"·",IF(IF(GlobalGH,Climate!$I$12,Climate!$F$12)&gt;Crops!$M$10,"H",IF(IF(GlobalGH,Climate!$H$12,Climate!$E$12)&lt;Crops!$K$10,"C","O")))</f>
        <v>·</v>
      </c>
      <c r="J12" s="142" t="str">
        <f aca="false">IF(IF(GlobalGH,Climate!$G$13,Climate!$D$13)&lt;=0,"·",IF(IF(GlobalGH,Climate!$I$13,Climate!$F$13)&gt;Crops!$M$10,"H",IF(IF(GlobalGH,Climate!$H$13,Climate!$E$13)&lt;Crops!$K$10,"C","O")))</f>
        <v>·</v>
      </c>
      <c r="K12" s="142" t="str">
        <f aca="false">IF(IF(GlobalGH,Climate!$G$14,Climate!$D$14)&lt;=0,"·",IF(IF(GlobalGH,Climate!$I$14,Climate!$F$14)&gt;Crops!$M$10,"H",IF(IF(GlobalGH,Climate!$H$14,Climate!$E$14)&lt;Crops!$K$10,"C","O")))</f>
        <v>·</v>
      </c>
      <c r="L12" s="142" t="str">
        <f aca="false">IF(IF(GlobalGH,Climate!$G$15,Climate!$D$15)&lt;=0,"·",IF(IF(GlobalGH,Climate!$I$15,Climate!$F$15)&gt;Crops!$M$10,"H",IF(IF(GlobalGH,Climate!$H$15,Climate!$E$15)&lt;Crops!$K$10,"C","O")))</f>
        <v>·</v>
      </c>
      <c r="M12" s="142" t="str">
        <f aca="false">IF(IF(GlobalGH,Climate!$G$16,Climate!$D$16)&lt;=0,"·",IF(IF(GlobalGH,Climate!$I$16,Climate!$F$16)&gt;Crops!$M$10,"H",IF(IF(GlobalGH,Climate!$H$16,Climate!$E$16)&lt;Crops!$K$10,"C","O")))</f>
        <v>·</v>
      </c>
      <c r="N12" s="142" t="str">
        <f aca="false">IF(IF(GlobalGH,Climate!$G$17,Climate!$D$17)&lt;=0,"·",IF(IF(GlobalGH,Climate!$I$17,Climate!$F$17)&gt;Crops!$M$10,"H",IF(IF(GlobalGH,Climate!$H$17,Climate!$E$17)&lt;Crops!$K$10,"C","O")))</f>
        <v>·</v>
      </c>
      <c r="O12" s="142" t="str">
        <f aca="false">IF(IF(GlobalGH,Climate!$G$18,Climate!$D$18)&lt;=0,"·",IF(IF(GlobalGH,Climate!$I$18,Climate!$F$18)&gt;Crops!$M$10,"H",IF(IF(GlobalGH,Climate!$H$18,Climate!$E$18)&lt;Crops!$K$10,"C","O")))</f>
        <v>·</v>
      </c>
      <c r="P12" s="142" t="str">
        <f aca="false">IF(IF(GlobalGH,Climate!$G$19,Climate!$D$19)&lt;=0,"·",IF(IF(GlobalGH,Climate!$I$19,Climate!$F$19)&gt;Crops!$M$10,"H",IF(IF(GlobalGH,Climate!$H$19,Climate!$E$19)&lt;Crops!$K$10,"C","O")))</f>
        <v>·</v>
      </c>
      <c r="Q12" s="142" t="str">
        <f aca="false">IF(IF(GlobalGH,Climate!$G$20,Climate!$D$20)&lt;=0,"·",IF(IF(GlobalGH,Climate!$I$20,Climate!$F$20)&gt;Crops!$M$10,"H",IF(IF(GlobalGH,Climate!$H$20,Climate!$E$20)&lt;Crops!$K$10,"C","O")))</f>
        <v>·</v>
      </c>
      <c r="R12" s="142" t="str">
        <f aca="false">IF(IF(GlobalGH,Climate!$G$21,Climate!$D$21)&lt;=0,"·",IF(IF(GlobalGH,Climate!$I$21,Climate!$F$21)&gt;Crops!$M$10,"H",IF(IF(GlobalGH,Climate!$H$21,Climate!$E$21)&lt;Crops!$K$10,"C","O")))</f>
        <v>·</v>
      </c>
      <c r="S12" s="142" t="str">
        <f aca="false">IF(IF(GlobalGH,Climate!$G$22,Climate!$D$22)&lt;=0,"·",IF(IF(GlobalGH,Climate!$I$22,Climate!$F$22)&gt;Crops!$M$10,"H",IF(IF(GlobalGH,Climate!$H$22,Climate!$E$22)&lt;Crops!$K$10,"C","O")))</f>
        <v>·</v>
      </c>
      <c r="T12" s="142" t="str">
        <f aca="false">IF(IF(GlobalGH,Climate!$G$23,Climate!$D$23)&lt;=0,"·",IF(IF(GlobalGH,Climate!$I$23,Climate!$F$23)&gt;Crops!$M$10,"H",IF(IF(GlobalGH,Climate!$H$23,Climate!$E$23)&lt;Crops!$K$10,"C","O")))</f>
        <v>·</v>
      </c>
      <c r="U12" s="142" t="str">
        <f aca="false">IF(IF(GlobalGH,Climate!$G$24,Climate!$D$24)&lt;=0,"·",IF(IF(GlobalGH,Climate!$I$24,Climate!$F$24)&gt;Crops!$M$10,"H",IF(IF(GlobalGH,Climate!$H$24,Climate!$E$24)&lt;Crops!$K$10,"C","O")))</f>
        <v>·</v>
      </c>
      <c r="V12" s="142" t="str">
        <f aca="false">IF(IF(GlobalGH,Climate!$G$25,Climate!$D$25)&lt;=0,"·",IF(IF(GlobalGH,Climate!$I$25,Climate!$F$25)&gt;Crops!$M$10,"H",IF(IF(GlobalGH,Climate!$H$25,Climate!$E$25)&lt;Crops!$K$10,"C","O")))</f>
        <v>·</v>
      </c>
      <c r="W12" s="142" t="str">
        <f aca="false">IF(IF(GlobalGH,Climate!$G$26,Climate!$D$26)&lt;=0,"·",IF(IF(GlobalGH,Climate!$I$26,Climate!$F$26)&gt;Crops!$M$10,"H",IF(IF(GlobalGH,Climate!$H$26,Climate!$E$26)&lt;Crops!$K$10,"C","O")))</f>
        <v>·</v>
      </c>
      <c r="X12" s="142" t="str">
        <f aca="false">IF(IF(GlobalGH,Climate!$G$27,Climate!$D$27)&lt;=0,"·",IF(IF(GlobalGH,Climate!$I$27,Climate!$F$27)&gt;Crops!$M$10,"H",IF(IF(GlobalGH,Climate!$H$27,Climate!$E$27)&lt;Crops!$K$10,"C","O")))</f>
        <v>·</v>
      </c>
      <c r="Y12" s="142" t="str">
        <f aca="false">IF(IF(GlobalGH,Climate!$G$28,Climate!$D$28)&lt;=0,"·",IF(IF(GlobalGH,Climate!$I$28,Climate!$F$28)&gt;Crops!$M$10,"H",IF(IF(GlobalGH,Climate!$H$28,Climate!$E$28)&lt;Crops!$K$10,"C","O")))</f>
        <v>·</v>
      </c>
      <c r="Z12" s="142" t="str">
        <f aca="false">IF(IF(GlobalGH,Climate!$G$29,Climate!$D$29)&lt;=0,"·",IF(IF(GlobalGH,Climate!$I$29,Climate!$F$29)&gt;Crops!$M$10,"H",IF(IF(GlobalGH,Climate!$H$29,Climate!$E$29)&lt;Crops!$K$10,"C","O")))</f>
        <v>·</v>
      </c>
      <c r="AA12" s="142" t="str">
        <f aca="false">IF(IF(GlobalGH,Climate!$G$30,Climate!$D$30)&lt;=0,"·",IF(IF(GlobalGH,Climate!$I$30,Climate!$F$30)&gt;Crops!$M$10,"H",IF(IF(GlobalGH,Climate!$H$30,Climate!$E$30)&lt;Crops!$K$10,"C","O")))</f>
        <v>·</v>
      </c>
      <c r="AB12" s="142" t="str">
        <f aca="false">IF(IF(GlobalGH,Climate!$G$31,Climate!$D$31)&lt;=0,"·",IF(IF(GlobalGH,Climate!$I$31,Climate!$F$31)&gt;Crops!$M$10,"H",IF(IF(GlobalGH,Climate!$H$31,Climate!$E$31)&lt;Crops!$K$10,"C","O")))</f>
        <v>·</v>
      </c>
      <c r="AC12" s="142" t="str">
        <f aca="false">IF(IF(GlobalGH,Climate!$G$32,Climate!$D$32)&lt;=0,"·",IF(IF(GlobalGH,Climate!$I$32,Climate!$F$32)&gt;Crops!$M$10,"H",IF(IF(GlobalGH,Climate!$H$32,Climate!$E$32)&lt;Crops!$K$10,"C","O")))</f>
        <v>·</v>
      </c>
      <c r="AD12" s="142" t="str">
        <f aca="false">IF(IF(GlobalGH,Climate!$G$33,Climate!$D$33)&lt;=0,"·",IF(IF(GlobalGH,Climate!$I$33,Climate!$F$33)&gt;Crops!$M$10,"H",IF(IF(GlobalGH,Climate!$H$33,Climate!$E$33)&lt;Crops!$K$10,"C","O")))</f>
        <v>·</v>
      </c>
      <c r="AE12" s="142" t="str">
        <f aca="false">IF(IF(GlobalGH,Climate!$G$34,Climate!$D$34)&lt;=0,"·",IF(IF(GlobalGH,Climate!$I$34,Climate!$F$34)&gt;Crops!$M$10,"H",IF(IF(GlobalGH,Climate!$H$34,Climate!$E$34)&lt;Crops!$K$10,"C","O")))</f>
        <v>·</v>
      </c>
      <c r="AF12" s="142" t="str">
        <f aca="false">IF(IF(GlobalGH,Climate!$G$35,Climate!$D$35)&lt;=0,"·",IF(IF(GlobalGH,Climate!$I$35,Climate!$F$35)&gt;Crops!$M$10,"H",IF(IF(GlobalGH,Climate!$H$35,Climate!$E$35)&lt;Crops!$K$10,"C","O")))</f>
        <v>·</v>
      </c>
      <c r="AG12" s="142" t="str">
        <f aca="false">IF(IF(GlobalGH,Climate!$G$36,Climate!$D$36)&lt;=0,"·",IF(IF(GlobalGH,Climate!$I$36,Climate!$F$36)&gt;Crops!$M$10,"H",IF(IF(GlobalGH,Climate!$H$36,Climate!$E$36)&lt;Crops!$K$10,"C","O")))</f>
        <v>·</v>
      </c>
      <c r="AH12" s="142" t="str">
        <f aca="false">IF(IF(GlobalGH,Climate!$G$37,Climate!$D$37)&lt;=0,"·",IF(IF(GlobalGH,Climate!$I$37,Climate!$F$37)&gt;Crops!$M$10,"H",IF(IF(GlobalGH,Climate!$H$37,Climate!$E$37)&lt;Crops!$K$10,"C","O")))</f>
        <v>·</v>
      </c>
      <c r="AI12" s="142" t="str">
        <f aca="false">IF(IF(GlobalGH,Climate!$G$38,Climate!$D$38)&lt;=0,"·",IF(IF(GlobalGH,Climate!$I$38,Climate!$F$38)&gt;Crops!$M$10,"H",IF(IF(GlobalGH,Climate!$H$38,Climate!$E$38)&lt;Crops!$K$10,"C","O")))</f>
        <v>C</v>
      </c>
      <c r="AJ12" s="142" t="str">
        <f aca="false">IF(IF(GlobalGH,Climate!$G$39,Climate!$D$39)&lt;=0,"·",IF(IF(GlobalGH,Climate!$I$39,Climate!$F$39)&gt;Crops!$M$10,"H",IF(IF(GlobalGH,Climate!$H$39,Climate!$E$39)&lt;Crops!$K$10,"C","O")))</f>
        <v>C</v>
      </c>
      <c r="AK12" s="142" t="str">
        <f aca="false">IF(IF(GlobalGH,Climate!$G$40,Climate!$D$40)&lt;=0,"·",IF(IF(GlobalGH,Climate!$I$40,Climate!$F$40)&gt;Crops!$M$10,"H",IF(IF(GlobalGH,Climate!$H$40,Climate!$E$40)&lt;Crops!$K$10,"C","O")))</f>
        <v>C</v>
      </c>
      <c r="AL12" s="142" t="str">
        <f aca="false">IF(IF(GlobalGH,Climate!$G$41,Climate!$D$41)&lt;=0,"·",IF(IF(GlobalGH,Climate!$I$41,Climate!$F$41)&gt;Crops!$M$10,"H",IF(IF(GlobalGH,Climate!$H$41,Climate!$E$41)&lt;Crops!$K$10,"C","O")))</f>
        <v>C</v>
      </c>
      <c r="AM12" s="142" t="str">
        <f aca="false">IF(IF(GlobalGH,Climate!$G$42,Climate!$D$42)&lt;=0,"·",IF(IF(GlobalGH,Climate!$I$42,Climate!$F$42)&gt;Crops!$M$10,"H",IF(IF(GlobalGH,Climate!$H$42,Climate!$E$42)&lt;Crops!$K$10,"C","O")))</f>
        <v>C</v>
      </c>
      <c r="AN12" s="142" t="str">
        <f aca="false">IF(IF(GlobalGH,Climate!$G$43,Climate!$D$43)&lt;=0,"·",IF(IF(GlobalGH,Climate!$I$43,Climate!$F$43)&gt;Crops!$M$10,"H",IF(IF(GlobalGH,Climate!$H$43,Climate!$E$43)&lt;Crops!$K$10,"C","O")))</f>
        <v>C</v>
      </c>
      <c r="AO12" s="142" t="str">
        <f aca="false">IF(IF(GlobalGH,Climate!$G$44,Climate!$D$44)&lt;=0,"·",IF(IF(GlobalGH,Climate!$I$44,Climate!$F$44)&gt;Crops!$M$10,"H",IF(IF(GlobalGH,Climate!$H$44,Climate!$E$44)&lt;Crops!$K$10,"C","O")))</f>
        <v>C</v>
      </c>
      <c r="AP12" s="142" t="str">
        <f aca="false">IF(IF(GlobalGH,Climate!$G$45,Climate!$D$45)&lt;=0,"·",IF(IF(GlobalGH,Climate!$I$45,Climate!$F$45)&gt;Crops!$M$10,"H",IF(IF(GlobalGH,Climate!$H$45,Climate!$E$45)&lt;Crops!$K$10,"C","O")))</f>
        <v>C</v>
      </c>
      <c r="AQ12" s="142" t="str">
        <f aca="false">IF(IF(GlobalGH,Climate!$G$46,Climate!$D$46)&lt;=0,"·",IF(IF(GlobalGH,Climate!$I$46,Climate!$F$46)&gt;Crops!$M$10,"H",IF(IF(GlobalGH,Climate!$H$46,Climate!$E$46)&lt;Crops!$K$10,"C","O")))</f>
        <v>O</v>
      </c>
      <c r="AR12" s="142" t="str">
        <f aca="false">IF(IF(GlobalGH,Climate!$G$47,Climate!$D$47)&lt;=0,"·",IF(IF(GlobalGH,Climate!$I$47,Climate!$F$47)&gt;Crops!$M$10,"H",IF(IF(GlobalGH,Climate!$H$47,Climate!$E$47)&lt;Crops!$K$10,"C","O")))</f>
        <v>O</v>
      </c>
      <c r="AS12" s="142" t="str">
        <f aca="false">IF(IF(GlobalGH,Climate!$G$48,Climate!$D$48)&lt;=0,"·",IF(IF(GlobalGH,Climate!$I$48,Climate!$F$48)&gt;Crops!$M$10,"H",IF(IF(GlobalGH,Climate!$H$48,Climate!$E$48)&lt;Crops!$K$10,"C","O")))</f>
        <v>O</v>
      </c>
      <c r="AT12" s="142" t="str">
        <f aca="false">IF(IF(GlobalGH,Climate!$G$49,Climate!$D$49)&lt;=0,"·",IF(IF(GlobalGH,Climate!$I$49,Climate!$F$49)&gt;Crops!$M$10,"H",IF(IF(GlobalGH,Climate!$H$49,Climate!$E$49)&lt;Crops!$K$10,"C","O")))</f>
        <v>O</v>
      </c>
      <c r="AU12" s="142" t="str">
        <f aca="false">IF(IF(GlobalGH,Climate!$G$50,Climate!$D$50)&lt;=0,"·",IF(IF(GlobalGH,Climate!$I$50,Climate!$F$50)&gt;Crops!$M$10,"H",IF(IF(GlobalGH,Climate!$H$50,Climate!$E$50)&lt;Crops!$K$10,"C","O")))</f>
        <v>O</v>
      </c>
      <c r="AV12" s="142" t="str">
        <f aca="false">IF(IF(GlobalGH,Climate!$G$51,Climate!$D$51)&lt;=0,"·",IF(IF(GlobalGH,Climate!$I$51,Climate!$F$51)&gt;Crops!$M$10,"H",IF(IF(GlobalGH,Climate!$H$51,Climate!$E$51)&lt;Crops!$K$10,"C","O")))</f>
        <v>O</v>
      </c>
      <c r="AW12" s="142" t="str">
        <f aca="false">IF(IF(GlobalGH,Climate!$G$52,Climate!$D$52)&lt;=0,"·",IF(IF(GlobalGH,Climate!$I$52,Climate!$F$52)&gt;Crops!$M$10,"H",IF(IF(GlobalGH,Climate!$H$52,Climate!$E$52)&lt;Crops!$K$10,"C","O")))</f>
        <v>O</v>
      </c>
      <c r="AX12" s="142" t="str">
        <f aca="false">IF(IF(GlobalGH,Climate!$G$53,Climate!$D$53)&lt;=0,"·",IF(IF(GlobalGH,Climate!$I$53,Climate!$F$53)&gt;Crops!$M$10,"H",IF(IF(GlobalGH,Climate!$H$53,Climate!$E$53)&lt;Crops!$K$10,"C","O")))</f>
        <v>O</v>
      </c>
      <c r="AY12" s="142" t="str">
        <f aca="false">IF(IF(GlobalGH,Climate!$G$54,Climate!$D$54)&lt;=0,"·",IF(IF(GlobalGH,Climate!$I$54,Climate!$F$54)&gt;Crops!$M$10,"H",IF(IF(GlobalGH,Climate!$H$54,Climate!$E$54)&lt;Crops!$K$10,"C","O")))</f>
        <v>O</v>
      </c>
      <c r="AZ12" s="142" t="str">
        <f aca="false">IF(IF(GlobalGH,Climate!$G$55,Climate!$D$55)&lt;=0,"·",IF(IF(GlobalGH,Climate!$I$55,Climate!$F$55)&gt;Crops!$M$10,"H",IF(IF(GlobalGH,Climate!$H$55,Climate!$E$55)&lt;Crops!$K$10,"C","O")))</f>
        <v>O</v>
      </c>
      <c r="BA12" s="142" t="str">
        <f aca="false">IF(IF(GlobalGH,Climate!$G$56,Climate!$D$56)&lt;=0,"·",IF(IF(GlobalGH,Climate!$I$56,Climate!$F$56)&gt;Crops!$M$10,"H",IF(IF(GlobalGH,Climate!$H$56,Climate!$E$56)&lt;Crops!$K$10,"C","O")))</f>
        <v>O</v>
      </c>
      <c r="BB12" s="142" t="str">
        <f aca="false">IF(IF(GlobalGH,Climate!$G$57,Climate!$D$57)&lt;=0,"·",IF(IF(GlobalGH,Climate!$I$57,Climate!$F$57)&gt;Crops!$M$10,"H",IF(IF(GlobalGH,Climate!$H$57,Climate!$E$57)&lt;Crops!$K$10,"C","O")))</f>
        <v>O</v>
      </c>
      <c r="BC12" s="142" t="str">
        <f aca="false">IF(IF(GlobalGH,Climate!$G$58,Climate!$D$58)&lt;=0,"·",IF(IF(GlobalGH,Climate!$I$58,Climate!$F$58)&gt;Crops!$M$10,"H",IF(IF(GlobalGH,Climate!$H$58,Climate!$E$58)&lt;Crops!$K$10,"C","O")))</f>
        <v>O</v>
      </c>
      <c r="BD12" s="142" t="str">
        <f aca="false">IF(IF(GlobalGH,Climate!$G$59,Climate!$D$59)&lt;=0,"·",IF(IF(GlobalGH,Climate!$I$59,Climate!$F$59)&gt;Crops!$M$10,"H",IF(IF(GlobalGH,Climate!$H$59,Climate!$E$59)&lt;Crops!$K$10,"C","O")))</f>
        <v>O</v>
      </c>
      <c r="BE12" s="142" t="str">
        <f aca="false">IF(IF(GlobalGH,Climate!$G$60,Climate!$D$60)&lt;=0,"·",IF(IF(GlobalGH,Climate!$I$60,Climate!$F$60)&gt;Crops!$M$10,"H",IF(IF(GlobalGH,Climate!$H$60,Climate!$E$60)&lt;Crops!$K$10,"C","O")))</f>
        <v>O</v>
      </c>
      <c r="BF12" s="142" t="str">
        <f aca="false">IF(IF(GlobalGH,Climate!$G$61,Climate!$D$61)&lt;=0,"·",IF(IF(GlobalGH,Climate!$I$61,Climate!$F$61)&gt;Crops!$M$10,"H",IF(IF(GlobalGH,Climate!$H$61,Climate!$E$61)&lt;Crops!$K$10,"C","O")))</f>
        <v>O</v>
      </c>
      <c r="BG12" s="142" t="str">
        <f aca="false">IF(IF(GlobalGH,Climate!$G$62,Climate!$D$62)&lt;=0,"·",IF(IF(GlobalGH,Climate!$I$62,Climate!$F$62)&gt;Crops!$M$10,"H",IF(IF(GlobalGH,Climate!$H$62,Climate!$E$62)&lt;Crops!$K$10,"C","O")))</f>
        <v>O</v>
      </c>
      <c r="BH12" s="142" t="str">
        <f aca="false">IF(IF(GlobalGH,Climate!$G$63,Climate!$D$63)&lt;=0,"·",IF(IF(GlobalGH,Climate!$I$63,Climate!$F$63)&gt;Crops!$M$10,"H",IF(IF(GlobalGH,Climate!$H$63,Climate!$E$63)&lt;Crops!$K$10,"C","O")))</f>
        <v>O</v>
      </c>
      <c r="BI12" s="142" t="str">
        <f aca="false">IF(IF(GlobalGH,Climate!$G$64,Climate!$D$64)&lt;=0,"·",IF(IF(GlobalGH,Climate!$I$64,Climate!$F$64)&gt;Crops!$M$10,"H",IF(IF(GlobalGH,Climate!$H$64,Climate!$E$64)&lt;Crops!$K$10,"C","O")))</f>
        <v>O</v>
      </c>
      <c r="BJ12" s="142" t="str">
        <f aca="false">IF(IF(GlobalGH,Climate!$G$65,Climate!$D$65)&lt;=0,"·",IF(IF(GlobalGH,Climate!$I$65,Climate!$F$65)&gt;Crops!$M$10,"H",IF(IF(GlobalGH,Climate!$H$65,Climate!$E$65)&lt;Crops!$K$10,"C","O")))</f>
        <v>O</v>
      </c>
      <c r="BK12" s="142" t="str">
        <f aca="false">IF(IF(GlobalGH,Climate!$G$66,Climate!$D$66)&lt;=0,"·",IF(IF(GlobalGH,Climate!$I$66,Climate!$F$66)&gt;Crops!$M$10,"H",IF(IF(GlobalGH,Climate!$H$66,Climate!$E$66)&lt;Crops!$K$10,"C","O")))</f>
        <v>O</v>
      </c>
      <c r="BL12" s="142" t="str">
        <f aca="false">IF(IF(GlobalGH,Climate!$G$67,Climate!$D$67)&lt;=0,"·",IF(IF(GlobalGH,Climate!$I$67,Climate!$F$67)&gt;Crops!$M$10,"H",IF(IF(GlobalGH,Climate!$H$67,Climate!$E$67)&lt;Crops!$K$10,"C","O")))</f>
        <v>O</v>
      </c>
      <c r="BM12" s="142" t="str">
        <f aca="false">IF(IF(GlobalGH,Climate!$G$68,Climate!$D$68)&lt;=0,"·",IF(IF(GlobalGH,Climate!$I$68,Climate!$F$68)&gt;Crops!$M$10,"H",IF(IF(GlobalGH,Climate!$H$68,Climate!$E$68)&lt;Crops!$K$10,"C","O")))</f>
        <v>O</v>
      </c>
      <c r="BN12" s="142" t="str">
        <f aca="false">IF(IF(GlobalGH,Climate!$G$69,Climate!$D$69)&lt;=0,"·",IF(IF(GlobalGH,Climate!$I$69,Climate!$F$69)&gt;Crops!$M$10,"H",IF(IF(GlobalGH,Climate!$H$69,Climate!$E$69)&lt;Crops!$K$10,"C","O")))</f>
        <v>O</v>
      </c>
      <c r="BO12" s="142" t="str">
        <f aca="false">IF(IF(GlobalGH,Climate!$G$70,Climate!$D$70)&lt;=0,"·",IF(IF(GlobalGH,Climate!$I$70,Climate!$F$70)&gt;Crops!$M$10,"H",IF(IF(GlobalGH,Climate!$H$70,Climate!$E$70)&lt;Crops!$K$10,"C","O")))</f>
        <v>O</v>
      </c>
      <c r="BP12" s="142" t="str">
        <f aca="false">IF(IF(GlobalGH,Climate!$G$71,Climate!$D$71)&lt;=0,"·",IF(IF(GlobalGH,Climate!$I$71,Climate!$F$71)&gt;Crops!$M$10,"H",IF(IF(GlobalGH,Climate!$H$71,Climate!$E$71)&lt;Crops!$K$10,"C","O")))</f>
        <v>O</v>
      </c>
      <c r="BQ12" s="142" t="str">
        <f aca="false">IF(IF(GlobalGH,Climate!$G$72,Climate!$D$72)&lt;=0,"·",IF(IF(GlobalGH,Climate!$I$72,Climate!$F$72)&gt;Crops!$M$10,"H",IF(IF(GlobalGH,Climate!$H$72,Climate!$E$72)&lt;Crops!$K$10,"C","O")))</f>
        <v>O</v>
      </c>
      <c r="BR12" s="142" t="str">
        <f aca="false">IF(IF(GlobalGH,Climate!$G$73,Climate!$D$73)&lt;=0,"·",IF(IF(GlobalGH,Climate!$I$73,Climate!$F$73)&gt;Crops!$M$10,"H",IF(IF(GlobalGH,Climate!$H$73,Climate!$E$73)&lt;Crops!$K$10,"C","O")))</f>
        <v>O</v>
      </c>
      <c r="BS12" s="142" t="str">
        <f aca="false">IF(IF(GlobalGH,Climate!$G$74,Climate!$D$74)&lt;=0,"·",IF(IF(GlobalGH,Climate!$I$74,Climate!$F$74)&gt;Crops!$M$10,"H",IF(IF(GlobalGH,Climate!$H$74,Climate!$E$74)&lt;Crops!$K$10,"C","O")))</f>
        <v>O</v>
      </c>
      <c r="BT12" s="142" t="str">
        <f aca="false">IF(IF(GlobalGH,Climate!$G$75,Climate!$D$75)&lt;=0,"·",IF(IF(GlobalGH,Climate!$I$75,Climate!$F$75)&gt;Crops!$M$10,"H",IF(IF(GlobalGH,Climate!$H$75,Climate!$E$75)&lt;Crops!$K$10,"C","O")))</f>
        <v>O</v>
      </c>
      <c r="BU12" s="142" t="str">
        <f aca="false">IF(IF(GlobalGH,Climate!$G$76,Climate!$D$76)&lt;=0,"·",IF(IF(GlobalGH,Climate!$I$76,Climate!$F$76)&gt;Crops!$M$10,"H",IF(IF(GlobalGH,Climate!$H$76,Climate!$E$76)&lt;Crops!$K$10,"C","O")))</f>
        <v>O</v>
      </c>
      <c r="BV12" s="142" t="str">
        <f aca="false">IF(IF(GlobalGH,Climate!$G$77,Climate!$D$77)&lt;=0,"·",IF(IF(GlobalGH,Climate!$I$77,Climate!$F$77)&gt;Crops!$M$10,"H",IF(IF(GlobalGH,Climate!$H$77,Climate!$E$77)&lt;Crops!$K$10,"C","O")))</f>
        <v>O</v>
      </c>
      <c r="BW12" s="142" t="str">
        <f aca="false">IF(IF(GlobalGH,Climate!$G$78,Climate!$D$78)&lt;=0,"·",IF(IF(GlobalGH,Climate!$I$78,Climate!$F$78)&gt;Crops!$M$10,"H",IF(IF(GlobalGH,Climate!$H$78,Climate!$E$78)&lt;Crops!$K$10,"C","O")))</f>
        <v>O</v>
      </c>
      <c r="BX12" s="142" t="str">
        <f aca="false">IF(IF(GlobalGH,Climate!$G$79,Climate!$D$79)&lt;=0,"·",IF(IF(GlobalGH,Climate!$I$79,Climate!$F$79)&gt;Crops!$M$10,"H",IF(IF(GlobalGH,Climate!$H$79,Climate!$E$79)&lt;Crops!$K$10,"C","O")))</f>
        <v>O</v>
      </c>
      <c r="BY12" s="142" t="str">
        <f aca="false">IF(IF(GlobalGH,Climate!$G$80,Climate!$D$80)&lt;=0,"·",IF(IF(GlobalGH,Climate!$I$80,Climate!$F$80)&gt;Crops!$M$10,"H",IF(IF(GlobalGH,Climate!$H$80,Climate!$E$80)&lt;Crops!$K$10,"C","O")))</f>
        <v>O</v>
      </c>
      <c r="BZ12" s="142" t="str">
        <f aca="false">IF(IF(GlobalGH,Climate!$G$81,Climate!$D$81)&lt;=0,"·",IF(IF(GlobalGH,Climate!$I$81,Climate!$F$81)&gt;Crops!$M$10,"H",IF(IF(GlobalGH,Climate!$H$81,Climate!$E$81)&lt;Crops!$K$10,"C","O")))</f>
        <v>O</v>
      </c>
      <c r="CA12" s="142" t="str">
        <f aca="false">IF(IF(GlobalGH,Climate!$G$82,Climate!$D$82)&lt;=0,"·",IF(IF(GlobalGH,Climate!$I$82,Climate!$F$82)&gt;Crops!$M$10,"H",IF(IF(GlobalGH,Climate!$H$82,Climate!$E$82)&lt;Crops!$K$10,"C","O")))</f>
        <v>C</v>
      </c>
      <c r="CB12" s="142" t="str">
        <f aca="false">IF(IF(GlobalGH,Climate!$G$83,Climate!$D$83)&lt;=0,"·",IF(IF(GlobalGH,Climate!$I$83,Climate!$F$83)&gt;Crops!$M$10,"H",IF(IF(GlobalGH,Climate!$H$83,Climate!$E$83)&lt;Crops!$K$10,"C","O")))</f>
        <v>C</v>
      </c>
      <c r="CC12" s="142" t="str">
        <f aca="false">IF(IF(GlobalGH,Climate!$G$84,Climate!$D$84)&lt;=0,"·",IF(IF(GlobalGH,Climate!$I$84,Climate!$F$84)&gt;Crops!$M$10,"H",IF(IF(GlobalGH,Climate!$H$84,Climate!$E$84)&lt;Crops!$K$10,"C","O")))</f>
        <v>C</v>
      </c>
      <c r="CD12" s="142" t="str">
        <f aca="false">IF(IF(GlobalGH,Climate!$G$85,Climate!$D$85)&lt;=0,"·",IF(IF(GlobalGH,Climate!$I$85,Climate!$F$85)&gt;Crops!$M$10,"H",IF(IF(GlobalGH,Climate!$H$85,Climate!$E$85)&lt;Crops!$K$10,"C","O")))</f>
        <v>C</v>
      </c>
      <c r="CE12" s="142" t="str">
        <f aca="false">IF(IF(GlobalGH,Climate!$G$86,Climate!$D$86)&lt;=0,"·",IF(IF(GlobalGH,Climate!$I$86,Climate!$F$86)&gt;Crops!$M$10,"H",IF(IF(GlobalGH,Climate!$H$86,Climate!$E$86)&lt;Crops!$K$10,"C","O")))</f>
        <v>C</v>
      </c>
      <c r="CF12" s="142" t="str">
        <f aca="false">IF(IF(GlobalGH,Climate!$G$87,Climate!$D$87)&lt;=0,"·",IF(IF(GlobalGH,Climate!$I$87,Climate!$F$87)&gt;Crops!$M$10,"H",IF(IF(GlobalGH,Climate!$H$87,Climate!$E$87)&lt;Crops!$K$10,"C","O")))</f>
        <v>C</v>
      </c>
      <c r="CG12" s="142" t="str">
        <f aca="false">IF(IF(GlobalGH,Climate!$G$88,Climate!$D$88)&lt;=0,"·",IF(IF(GlobalGH,Climate!$I$88,Climate!$F$88)&gt;Crops!$M$10,"H",IF(IF(GlobalGH,Climate!$H$88,Climate!$E$88)&lt;Crops!$K$10,"C","O")))</f>
        <v>·</v>
      </c>
      <c r="CH12" s="142" t="str">
        <f aca="false">IF(IF(GlobalGH,Climate!$G$89,Climate!$D$89)&lt;=0,"·",IF(IF(GlobalGH,Climate!$I$89,Climate!$F$89)&gt;Crops!$M$10,"H",IF(IF(GlobalGH,Climate!$H$89,Climate!$E$89)&lt;Crops!$K$10,"C","O")))</f>
        <v>·</v>
      </c>
      <c r="CI12" s="142" t="str">
        <f aca="false">IF(IF(GlobalGH,Climate!$G$90,Climate!$D$90)&lt;=0,"·",IF(IF(GlobalGH,Climate!$I$90,Climate!$F$90)&gt;Crops!$M$10,"H",IF(IF(GlobalGH,Climate!$H$90,Climate!$E$90)&lt;Crops!$K$10,"C","O")))</f>
        <v>·</v>
      </c>
      <c r="CJ12" s="142" t="str">
        <f aca="false">IF(IF(GlobalGH,Climate!$G$91,Climate!$D$91)&lt;=0,"·",IF(IF(GlobalGH,Climate!$I$91,Climate!$F$91)&gt;Crops!$M$10,"H",IF(IF(GlobalGH,Climate!$H$91,Climate!$E$91)&lt;Crops!$K$10,"C","O")))</f>
        <v>·</v>
      </c>
      <c r="CK12" s="142" t="str">
        <f aca="false">IF(IF(GlobalGH,Climate!$G$92,Climate!$D$92)&lt;=0,"·",IF(IF(GlobalGH,Climate!$I$92,Climate!$F$92)&gt;Crops!$M$10,"H",IF(IF(GlobalGH,Climate!$H$92,Climate!$E$92)&lt;Crops!$K$10,"C","O")))</f>
        <v>·</v>
      </c>
      <c r="CL12" s="142" t="str">
        <f aca="false">IF(IF(GlobalGH,Climate!$G$93,Climate!$D$93)&lt;=0,"·",IF(IF(GlobalGH,Climate!$I$93,Climate!$F$93)&gt;Crops!$M$10,"H",IF(IF(GlobalGH,Climate!$H$93,Climate!$E$93)&lt;Crops!$K$10,"C","O")))</f>
        <v>·</v>
      </c>
      <c r="CM12" s="142" t="str">
        <f aca="false">IF(IF(GlobalGH,Climate!$G$94,Climate!$D$94)&lt;=0,"·",IF(IF(GlobalGH,Climate!$I$94,Climate!$F$94)&gt;Crops!$M$10,"H",IF(IF(GlobalGH,Climate!$H$94,Climate!$E$94)&lt;Crops!$K$10,"C","O")))</f>
        <v>·</v>
      </c>
      <c r="CN12" s="142" t="str">
        <f aca="false">IF(IF(GlobalGH,Climate!$G$95,Climate!$D$95)&lt;=0,"·",IF(IF(GlobalGH,Climate!$I$95,Climate!$F$95)&gt;Crops!$M$10,"H",IF(IF(GlobalGH,Climate!$H$95,Climate!$E$95)&lt;Crops!$K$10,"C","O")))</f>
        <v>·</v>
      </c>
      <c r="CO12" s="142" t="str">
        <f aca="false">IF(IF(GlobalGH,Climate!$G$96,Climate!$D$96)&lt;=0,"·",IF(IF(GlobalGH,Climate!$I$96,Climate!$F$96)&gt;Crops!$M$10,"H",IF(IF(GlobalGH,Climate!$H$96,Climate!$E$96)&lt;Crops!$K$10,"C","O")))</f>
        <v>·</v>
      </c>
      <c r="CP12" s="142" t="str">
        <f aca="false">IF(IF(GlobalGH,Climate!$G$97,Climate!$D$97)&lt;=0,"·",IF(IF(GlobalGH,Climate!$I$97,Climate!$F$97)&gt;Crops!$M$10,"H",IF(IF(GlobalGH,Climate!$H$97,Climate!$E$97)&lt;Crops!$K$10,"C","O")))</f>
        <v>·</v>
      </c>
      <c r="CQ12" s="142" t="str">
        <f aca="false">IF(IF(GlobalGH,Climate!$G$98,Climate!$D$98)&lt;=0,"·",IF(IF(GlobalGH,Climate!$I$98,Climate!$F$98)&gt;Crops!$M$10,"H",IF(IF(GlobalGH,Climate!$H$98,Climate!$E$98)&lt;Crops!$K$10,"C","O")))</f>
        <v>·</v>
      </c>
      <c r="CR12" s="142" t="str">
        <f aca="false">IF(IF(GlobalGH,Climate!$G$99,Climate!$D$99)&lt;=0,"·",IF(IF(GlobalGH,Climate!$I$99,Climate!$F$99)&gt;Crops!$M$10,"H",IF(IF(GlobalGH,Climate!$H$99,Climate!$E$99)&lt;Crops!$K$10,"C","O")))</f>
        <v>·</v>
      </c>
      <c r="CS12" s="142" t="str">
        <f aca="false">IF(IF(GlobalGH,Climate!$G$100,Climate!$D$100)&lt;=0,"·",IF(IF(GlobalGH,Climate!$I$100,Climate!$F$100)&gt;Crops!$M$10,"H",IF(IF(GlobalGH,Climate!$H$100,Climate!$E$100)&lt;Crops!$K$10,"C","O")))</f>
        <v>·</v>
      </c>
      <c r="CT12" s="142" t="str">
        <f aca="false">IF(IF(GlobalGH,Climate!$G$101,Climate!$D$101)&lt;=0,"·",IF(IF(GlobalGH,Climate!$I$101,Climate!$F$101)&gt;Crops!$M$10,"H",IF(IF(GlobalGH,Climate!$H$101,Climate!$E$101)&lt;Crops!$K$10,"C","O")))</f>
        <v>·</v>
      </c>
      <c r="CU12" s="142" t="str">
        <f aca="false">IF(IF(GlobalGH,Climate!$G$102,Climate!$D$102)&lt;=0,"·",IF(IF(GlobalGH,Climate!$I$102,Climate!$F$102)&gt;Crops!$M$10,"H",IF(IF(GlobalGH,Climate!$H$102,Climate!$E$102)&lt;Crops!$K$10,"C","O")))</f>
        <v>·</v>
      </c>
      <c r="CV12" s="142" t="str">
        <f aca="false">IF(IF(GlobalGH,Climate!$G$103,Climate!$D$103)&lt;=0,"·",IF(IF(GlobalGH,Climate!$I$103,Climate!$F$103)&gt;Crops!$M$10,"H",IF(IF(GlobalGH,Climate!$H$103,Climate!$E$103)&lt;Crops!$K$10,"C","O")))</f>
        <v>·</v>
      </c>
      <c r="CW12" s="142" t="str">
        <f aca="false">IF(IF(GlobalGH,Climate!$G$104,Climate!$D$104)&lt;=0,"·",IF(IF(GlobalGH,Climate!$I$104,Climate!$F$104)&gt;Crops!$M$10,"H",IF(IF(GlobalGH,Climate!$H$104,Climate!$E$104)&lt;Crops!$K$10,"C","O")))</f>
        <v>·</v>
      </c>
      <c r="CX12" s="142" t="str">
        <f aca="false">IF(IF(GlobalGH,Climate!$G$105,Climate!$D$105)&lt;=0,"·",IF(IF(GlobalGH,Climate!$I$105,Climate!$F$105)&gt;Crops!$M$10,"H",IF(IF(GlobalGH,Climate!$H$105,Climate!$E$105)&lt;Crops!$K$10,"C","O")))</f>
        <v>·</v>
      </c>
      <c r="CY12" s="142" t="str">
        <f aca="false">IF(IF(GlobalGH,Climate!$G$106,Climate!$D$106)&lt;=0,"·",IF(IF(GlobalGH,Climate!$I$106,Climate!$F$106)&gt;Crops!$M$10,"H",IF(IF(GlobalGH,Climate!$H$106,Climate!$E$106)&lt;Crops!$K$10,"C","O")))</f>
        <v>·</v>
      </c>
      <c r="CZ12" s="142" t="str">
        <f aca="false">IF(IF(GlobalGH,Climate!$G$107,Climate!$D$107)&lt;=0,"·",IF(IF(GlobalGH,Climate!$I$107,Climate!$F$107)&gt;Crops!$M$10,"H",IF(IF(GlobalGH,Climate!$H$107,Climate!$E$107)&lt;Crops!$K$10,"C","O")))</f>
        <v>·</v>
      </c>
      <c r="DA12" s="142" t="str">
        <f aca="false">IF(IF(GlobalGH,Climate!$G$108,Climate!$D$108)&lt;=0,"·",IF(IF(GlobalGH,Climate!$I$108,Climate!$F$108)&gt;Crops!$M$10,"H",IF(IF(GlobalGH,Climate!$H$108,Climate!$E$108)&lt;Crops!$K$10,"C","O")))</f>
        <v>·</v>
      </c>
      <c r="DB12" s="142" t="str">
        <f aca="false">IF(IF(GlobalGH,Climate!$G$109,Climate!$D$109)&lt;=0,"·",IF(IF(GlobalGH,Climate!$I$109,Climate!$F$109)&gt;Crops!$M$10,"H",IF(IF(GlobalGH,Climate!$H$109,Climate!$E$109)&lt;Crops!$K$10,"C","O")))</f>
        <v>·</v>
      </c>
      <c r="DC12" s="142" t="str">
        <f aca="false">IF(IF(GlobalGH,Climate!$G$110,Climate!$D$110)&lt;=0,"·",IF(IF(GlobalGH,Climate!$I$110,Climate!$F$110)&gt;Crops!$M$10,"H",IF(IF(GlobalGH,Climate!$H$110,Climate!$E$110)&lt;Crops!$K$10,"C","O")))</f>
        <v>·</v>
      </c>
      <c r="DD12" s="142" t="str">
        <f aca="false">IF(IF(GlobalGH,Climate!$G$111,Climate!$D$111)&lt;=0,"·",IF(IF(GlobalGH,Climate!$I$111,Climate!$F$111)&gt;Crops!$M$10,"H",IF(IF(GlobalGH,Climate!$H$111,Climate!$E$111)&lt;Crops!$K$10,"C","O")))</f>
        <v>·</v>
      </c>
      <c r="DE12" s="142" t="str">
        <f aca="false">IF(IF(GlobalGH,Climate!$G$112,Climate!$D$112)&lt;=0,"·",IF(IF(GlobalGH,Climate!$I$112,Climate!$F$112)&gt;Crops!$M$10,"H",IF(IF(GlobalGH,Climate!$H$112,Climate!$E$112)&lt;Crops!$K$10,"C","O")))</f>
        <v>·</v>
      </c>
      <c r="DF12" s="143" t="n">
        <f aca="false">COUNTIF(B12:DE12,"O")</f>
        <v>36</v>
      </c>
      <c r="DG12" s="139" t="s">
        <v>421</v>
      </c>
    </row>
    <row r="13" customFormat="false" ht="15" hidden="false" customHeight="true" outlineLevel="0" collapsed="false">
      <c r="A13" s="141" t="str">
        <f aca="false">Crops!$B$11</f>
        <v>Turnip</v>
      </c>
      <c r="B13" s="142" t="str">
        <f aca="false">IF(IF(GlobalGH,Climate!$G$5,Climate!$D$5)&lt;=0,"·",IF(IF(GlobalGH,Climate!$I$5,Climate!$F$5)&gt;Crops!$M$11,"H",IF(IF(GlobalGH,Climate!$H$5,Climate!$E$5)&lt;Crops!$K$11,"C","O")))</f>
        <v>·</v>
      </c>
      <c r="C13" s="142" t="str">
        <f aca="false">IF(IF(GlobalGH,Climate!$G$6,Climate!$D$6)&lt;=0,"·",IF(IF(GlobalGH,Climate!$I$6,Climate!$F$6)&gt;Crops!$M$11,"H",IF(IF(GlobalGH,Climate!$H$6,Climate!$E$6)&lt;Crops!$K$11,"C","O")))</f>
        <v>·</v>
      </c>
      <c r="D13" s="142" t="str">
        <f aca="false">IF(IF(GlobalGH,Climate!$G$7,Climate!$D$7)&lt;=0,"·",IF(IF(GlobalGH,Climate!$I$7,Climate!$F$7)&gt;Crops!$M$11,"H",IF(IF(GlobalGH,Climate!$H$7,Climate!$E$7)&lt;Crops!$K$11,"C","O")))</f>
        <v>·</v>
      </c>
      <c r="E13" s="142" t="str">
        <f aca="false">IF(IF(GlobalGH,Climate!$G$8,Climate!$D$8)&lt;=0,"·",IF(IF(GlobalGH,Climate!$I$8,Climate!$F$8)&gt;Crops!$M$11,"H",IF(IF(GlobalGH,Climate!$H$8,Climate!$E$8)&lt;Crops!$K$11,"C","O")))</f>
        <v>·</v>
      </c>
      <c r="F13" s="142" t="str">
        <f aca="false">IF(IF(GlobalGH,Climate!$G$9,Climate!$D$9)&lt;=0,"·",IF(IF(GlobalGH,Climate!$I$9,Climate!$F$9)&gt;Crops!$M$11,"H",IF(IF(GlobalGH,Climate!$H$9,Climate!$E$9)&lt;Crops!$K$11,"C","O")))</f>
        <v>·</v>
      </c>
      <c r="G13" s="142" t="str">
        <f aca="false">IF(IF(GlobalGH,Climate!$G$10,Climate!$D$10)&lt;=0,"·",IF(IF(GlobalGH,Climate!$I$10,Climate!$F$10)&gt;Crops!$M$11,"H",IF(IF(GlobalGH,Climate!$H$10,Climate!$E$10)&lt;Crops!$K$11,"C","O")))</f>
        <v>·</v>
      </c>
      <c r="H13" s="142" t="str">
        <f aca="false">IF(IF(GlobalGH,Climate!$G$11,Climate!$D$11)&lt;=0,"·",IF(IF(GlobalGH,Climate!$I$11,Climate!$F$11)&gt;Crops!$M$11,"H",IF(IF(GlobalGH,Climate!$H$11,Climate!$E$11)&lt;Crops!$K$11,"C","O")))</f>
        <v>·</v>
      </c>
      <c r="I13" s="142" t="str">
        <f aca="false">IF(IF(GlobalGH,Climate!$G$12,Climate!$D$12)&lt;=0,"·",IF(IF(GlobalGH,Climate!$I$12,Climate!$F$12)&gt;Crops!$M$11,"H",IF(IF(GlobalGH,Climate!$H$12,Climate!$E$12)&lt;Crops!$K$11,"C","O")))</f>
        <v>·</v>
      </c>
      <c r="J13" s="142" t="str">
        <f aca="false">IF(IF(GlobalGH,Climate!$G$13,Climate!$D$13)&lt;=0,"·",IF(IF(GlobalGH,Climate!$I$13,Climate!$F$13)&gt;Crops!$M$11,"H",IF(IF(GlobalGH,Climate!$H$13,Climate!$E$13)&lt;Crops!$K$11,"C","O")))</f>
        <v>·</v>
      </c>
      <c r="K13" s="142" t="str">
        <f aca="false">IF(IF(GlobalGH,Climate!$G$14,Climate!$D$14)&lt;=0,"·",IF(IF(GlobalGH,Climate!$I$14,Climate!$F$14)&gt;Crops!$M$11,"H",IF(IF(GlobalGH,Climate!$H$14,Climate!$E$14)&lt;Crops!$K$11,"C","O")))</f>
        <v>·</v>
      </c>
      <c r="L13" s="142" t="str">
        <f aca="false">IF(IF(GlobalGH,Climate!$G$15,Climate!$D$15)&lt;=0,"·",IF(IF(GlobalGH,Climate!$I$15,Climate!$F$15)&gt;Crops!$M$11,"H",IF(IF(GlobalGH,Climate!$H$15,Climate!$E$15)&lt;Crops!$K$11,"C","O")))</f>
        <v>·</v>
      </c>
      <c r="M13" s="142" t="str">
        <f aca="false">IF(IF(GlobalGH,Climate!$G$16,Climate!$D$16)&lt;=0,"·",IF(IF(GlobalGH,Climate!$I$16,Climate!$F$16)&gt;Crops!$M$11,"H",IF(IF(GlobalGH,Climate!$H$16,Climate!$E$16)&lt;Crops!$K$11,"C","O")))</f>
        <v>·</v>
      </c>
      <c r="N13" s="142" t="str">
        <f aca="false">IF(IF(GlobalGH,Climate!$G$17,Climate!$D$17)&lt;=0,"·",IF(IF(GlobalGH,Climate!$I$17,Climate!$F$17)&gt;Crops!$M$11,"H",IF(IF(GlobalGH,Climate!$H$17,Climate!$E$17)&lt;Crops!$K$11,"C","O")))</f>
        <v>·</v>
      </c>
      <c r="O13" s="142" t="str">
        <f aca="false">IF(IF(GlobalGH,Climate!$G$18,Climate!$D$18)&lt;=0,"·",IF(IF(GlobalGH,Climate!$I$18,Climate!$F$18)&gt;Crops!$M$11,"H",IF(IF(GlobalGH,Climate!$H$18,Climate!$E$18)&lt;Crops!$K$11,"C","O")))</f>
        <v>·</v>
      </c>
      <c r="P13" s="142" t="str">
        <f aca="false">IF(IF(GlobalGH,Climate!$G$19,Climate!$D$19)&lt;=0,"·",IF(IF(GlobalGH,Climate!$I$19,Climate!$F$19)&gt;Crops!$M$11,"H",IF(IF(GlobalGH,Climate!$H$19,Climate!$E$19)&lt;Crops!$K$11,"C","O")))</f>
        <v>·</v>
      </c>
      <c r="Q13" s="142" t="str">
        <f aca="false">IF(IF(GlobalGH,Climate!$G$20,Climate!$D$20)&lt;=0,"·",IF(IF(GlobalGH,Climate!$I$20,Climate!$F$20)&gt;Crops!$M$11,"H",IF(IF(GlobalGH,Climate!$H$20,Climate!$E$20)&lt;Crops!$K$11,"C","O")))</f>
        <v>·</v>
      </c>
      <c r="R13" s="142" t="str">
        <f aca="false">IF(IF(GlobalGH,Climate!$G$21,Climate!$D$21)&lt;=0,"·",IF(IF(GlobalGH,Climate!$I$21,Climate!$F$21)&gt;Crops!$M$11,"H",IF(IF(GlobalGH,Climate!$H$21,Climate!$E$21)&lt;Crops!$K$11,"C","O")))</f>
        <v>·</v>
      </c>
      <c r="S13" s="142" t="str">
        <f aca="false">IF(IF(GlobalGH,Climate!$G$22,Climate!$D$22)&lt;=0,"·",IF(IF(GlobalGH,Climate!$I$22,Climate!$F$22)&gt;Crops!$M$11,"H",IF(IF(GlobalGH,Climate!$H$22,Climate!$E$22)&lt;Crops!$K$11,"C","O")))</f>
        <v>·</v>
      </c>
      <c r="T13" s="142" t="str">
        <f aca="false">IF(IF(GlobalGH,Climate!$G$23,Climate!$D$23)&lt;=0,"·",IF(IF(GlobalGH,Climate!$I$23,Climate!$F$23)&gt;Crops!$M$11,"H",IF(IF(GlobalGH,Climate!$H$23,Climate!$E$23)&lt;Crops!$K$11,"C","O")))</f>
        <v>·</v>
      </c>
      <c r="U13" s="142" t="str">
        <f aca="false">IF(IF(GlobalGH,Climate!$G$24,Climate!$D$24)&lt;=0,"·",IF(IF(GlobalGH,Climate!$I$24,Climate!$F$24)&gt;Crops!$M$11,"H",IF(IF(GlobalGH,Climate!$H$24,Climate!$E$24)&lt;Crops!$K$11,"C","O")))</f>
        <v>·</v>
      </c>
      <c r="V13" s="142" t="str">
        <f aca="false">IF(IF(GlobalGH,Climate!$G$25,Climate!$D$25)&lt;=0,"·",IF(IF(GlobalGH,Climate!$I$25,Climate!$F$25)&gt;Crops!$M$11,"H",IF(IF(GlobalGH,Climate!$H$25,Climate!$E$25)&lt;Crops!$K$11,"C","O")))</f>
        <v>·</v>
      </c>
      <c r="W13" s="142" t="str">
        <f aca="false">IF(IF(GlobalGH,Climate!$G$26,Climate!$D$26)&lt;=0,"·",IF(IF(GlobalGH,Climate!$I$26,Climate!$F$26)&gt;Crops!$M$11,"H",IF(IF(GlobalGH,Climate!$H$26,Climate!$E$26)&lt;Crops!$K$11,"C","O")))</f>
        <v>·</v>
      </c>
      <c r="X13" s="142" t="str">
        <f aca="false">IF(IF(GlobalGH,Climate!$G$27,Climate!$D$27)&lt;=0,"·",IF(IF(GlobalGH,Climate!$I$27,Climate!$F$27)&gt;Crops!$M$11,"H",IF(IF(GlobalGH,Climate!$H$27,Climate!$E$27)&lt;Crops!$K$11,"C","O")))</f>
        <v>·</v>
      </c>
      <c r="Y13" s="142" t="str">
        <f aca="false">IF(IF(GlobalGH,Climate!$G$28,Climate!$D$28)&lt;=0,"·",IF(IF(GlobalGH,Climate!$I$28,Climate!$F$28)&gt;Crops!$M$11,"H",IF(IF(GlobalGH,Climate!$H$28,Climate!$E$28)&lt;Crops!$K$11,"C","O")))</f>
        <v>·</v>
      </c>
      <c r="Z13" s="142" t="str">
        <f aca="false">IF(IF(GlobalGH,Climate!$G$29,Climate!$D$29)&lt;=0,"·",IF(IF(GlobalGH,Climate!$I$29,Climate!$F$29)&gt;Crops!$M$11,"H",IF(IF(GlobalGH,Climate!$H$29,Climate!$E$29)&lt;Crops!$K$11,"C","O")))</f>
        <v>·</v>
      </c>
      <c r="AA13" s="142" t="str">
        <f aca="false">IF(IF(GlobalGH,Climate!$G$30,Climate!$D$30)&lt;=0,"·",IF(IF(GlobalGH,Climate!$I$30,Climate!$F$30)&gt;Crops!$M$11,"H",IF(IF(GlobalGH,Climate!$H$30,Climate!$E$30)&lt;Crops!$K$11,"C","O")))</f>
        <v>·</v>
      </c>
      <c r="AB13" s="142" t="str">
        <f aca="false">IF(IF(GlobalGH,Climate!$G$31,Climate!$D$31)&lt;=0,"·",IF(IF(GlobalGH,Climate!$I$31,Climate!$F$31)&gt;Crops!$M$11,"H",IF(IF(GlobalGH,Climate!$H$31,Climate!$E$31)&lt;Crops!$K$11,"C","O")))</f>
        <v>·</v>
      </c>
      <c r="AC13" s="142" t="str">
        <f aca="false">IF(IF(GlobalGH,Climate!$G$32,Climate!$D$32)&lt;=0,"·",IF(IF(GlobalGH,Climate!$I$32,Climate!$F$32)&gt;Crops!$M$11,"H",IF(IF(GlobalGH,Climate!$H$32,Climate!$E$32)&lt;Crops!$K$11,"C","O")))</f>
        <v>·</v>
      </c>
      <c r="AD13" s="142" t="str">
        <f aca="false">IF(IF(GlobalGH,Climate!$G$33,Climate!$D$33)&lt;=0,"·",IF(IF(GlobalGH,Climate!$I$33,Climate!$F$33)&gt;Crops!$M$11,"H",IF(IF(GlobalGH,Climate!$H$33,Climate!$E$33)&lt;Crops!$K$11,"C","O")))</f>
        <v>·</v>
      </c>
      <c r="AE13" s="142" t="str">
        <f aca="false">IF(IF(GlobalGH,Climate!$G$34,Climate!$D$34)&lt;=0,"·",IF(IF(GlobalGH,Climate!$I$34,Climate!$F$34)&gt;Crops!$M$11,"H",IF(IF(GlobalGH,Climate!$H$34,Climate!$E$34)&lt;Crops!$K$11,"C","O")))</f>
        <v>·</v>
      </c>
      <c r="AF13" s="142" t="str">
        <f aca="false">IF(IF(GlobalGH,Climate!$G$35,Climate!$D$35)&lt;=0,"·",IF(IF(GlobalGH,Climate!$I$35,Climate!$F$35)&gt;Crops!$M$11,"H",IF(IF(GlobalGH,Climate!$H$35,Climate!$E$35)&lt;Crops!$K$11,"C","O")))</f>
        <v>·</v>
      </c>
      <c r="AG13" s="142" t="str">
        <f aca="false">IF(IF(GlobalGH,Climate!$G$36,Climate!$D$36)&lt;=0,"·",IF(IF(GlobalGH,Climate!$I$36,Climate!$F$36)&gt;Crops!$M$11,"H",IF(IF(GlobalGH,Climate!$H$36,Climate!$E$36)&lt;Crops!$K$11,"C","O")))</f>
        <v>·</v>
      </c>
      <c r="AH13" s="142" t="str">
        <f aca="false">IF(IF(GlobalGH,Climate!$G$37,Climate!$D$37)&lt;=0,"·",IF(IF(GlobalGH,Climate!$I$37,Climate!$F$37)&gt;Crops!$M$11,"H",IF(IF(GlobalGH,Climate!$H$37,Climate!$E$37)&lt;Crops!$K$11,"C","O")))</f>
        <v>·</v>
      </c>
      <c r="AI13" s="142" t="str">
        <f aca="false">IF(IF(GlobalGH,Climate!$G$38,Climate!$D$38)&lt;=0,"·",IF(IF(GlobalGH,Climate!$I$38,Climate!$F$38)&gt;Crops!$M$11,"H",IF(IF(GlobalGH,Climate!$H$38,Climate!$E$38)&lt;Crops!$K$11,"C","O")))</f>
        <v>C</v>
      </c>
      <c r="AJ13" s="142" t="str">
        <f aca="false">IF(IF(GlobalGH,Climate!$G$39,Climate!$D$39)&lt;=0,"·",IF(IF(GlobalGH,Climate!$I$39,Climate!$F$39)&gt;Crops!$M$11,"H",IF(IF(GlobalGH,Climate!$H$39,Climate!$E$39)&lt;Crops!$K$11,"C","O")))</f>
        <v>C</v>
      </c>
      <c r="AK13" s="142" t="str">
        <f aca="false">IF(IF(GlobalGH,Climate!$G$40,Climate!$D$40)&lt;=0,"·",IF(IF(GlobalGH,Climate!$I$40,Climate!$F$40)&gt;Crops!$M$11,"H",IF(IF(GlobalGH,Climate!$H$40,Climate!$E$40)&lt;Crops!$K$11,"C","O")))</f>
        <v>C</v>
      </c>
      <c r="AL13" s="142" t="str">
        <f aca="false">IF(IF(GlobalGH,Climate!$G$41,Climate!$D$41)&lt;=0,"·",IF(IF(GlobalGH,Climate!$I$41,Climate!$F$41)&gt;Crops!$M$11,"H",IF(IF(GlobalGH,Climate!$H$41,Climate!$E$41)&lt;Crops!$K$11,"C","O")))</f>
        <v>C</v>
      </c>
      <c r="AM13" s="142" t="str">
        <f aca="false">IF(IF(GlobalGH,Climate!$G$42,Climate!$D$42)&lt;=0,"·",IF(IF(GlobalGH,Climate!$I$42,Climate!$F$42)&gt;Crops!$M$11,"H",IF(IF(GlobalGH,Climate!$H$42,Climate!$E$42)&lt;Crops!$K$11,"C","O")))</f>
        <v>C</v>
      </c>
      <c r="AN13" s="142" t="str">
        <f aca="false">IF(IF(GlobalGH,Climate!$G$43,Climate!$D$43)&lt;=0,"·",IF(IF(GlobalGH,Climate!$I$43,Climate!$F$43)&gt;Crops!$M$11,"H",IF(IF(GlobalGH,Climate!$H$43,Climate!$E$43)&lt;Crops!$K$11,"C","O")))</f>
        <v>C</v>
      </c>
      <c r="AO13" s="142" t="str">
        <f aca="false">IF(IF(GlobalGH,Climate!$G$44,Climate!$D$44)&lt;=0,"·",IF(IF(GlobalGH,Climate!$I$44,Climate!$F$44)&gt;Crops!$M$11,"H",IF(IF(GlobalGH,Climate!$H$44,Climate!$E$44)&lt;Crops!$K$11,"C","O")))</f>
        <v>C</v>
      </c>
      <c r="AP13" s="142" t="str">
        <f aca="false">IF(IF(GlobalGH,Climate!$G$45,Climate!$D$45)&lt;=0,"·",IF(IF(GlobalGH,Climate!$I$45,Climate!$F$45)&gt;Crops!$M$11,"H",IF(IF(GlobalGH,Climate!$H$45,Climate!$E$45)&lt;Crops!$K$11,"C","O")))</f>
        <v>C</v>
      </c>
      <c r="AQ13" s="142" t="str">
        <f aca="false">IF(IF(GlobalGH,Climate!$G$46,Climate!$D$46)&lt;=0,"·",IF(IF(GlobalGH,Climate!$I$46,Climate!$F$46)&gt;Crops!$M$11,"H",IF(IF(GlobalGH,Climate!$H$46,Climate!$E$46)&lt;Crops!$K$11,"C","O")))</f>
        <v>C</v>
      </c>
      <c r="AR13" s="142" t="str">
        <f aca="false">IF(IF(GlobalGH,Climate!$G$47,Climate!$D$47)&lt;=0,"·",IF(IF(GlobalGH,Climate!$I$47,Climate!$F$47)&gt;Crops!$M$11,"H",IF(IF(GlobalGH,Climate!$H$47,Climate!$E$47)&lt;Crops!$K$11,"C","O")))</f>
        <v>O</v>
      </c>
      <c r="AS13" s="142" t="str">
        <f aca="false">IF(IF(GlobalGH,Climate!$G$48,Climate!$D$48)&lt;=0,"·",IF(IF(GlobalGH,Climate!$I$48,Climate!$F$48)&gt;Crops!$M$11,"H",IF(IF(GlobalGH,Climate!$H$48,Climate!$E$48)&lt;Crops!$K$11,"C","O")))</f>
        <v>O</v>
      </c>
      <c r="AT13" s="142" t="str">
        <f aca="false">IF(IF(GlobalGH,Climate!$G$49,Climate!$D$49)&lt;=0,"·",IF(IF(GlobalGH,Climate!$I$49,Climate!$F$49)&gt;Crops!$M$11,"H",IF(IF(GlobalGH,Climate!$H$49,Climate!$E$49)&lt;Crops!$K$11,"C","O")))</f>
        <v>O</v>
      </c>
      <c r="AU13" s="142" t="str">
        <f aca="false">IF(IF(GlobalGH,Climate!$G$50,Climate!$D$50)&lt;=0,"·",IF(IF(GlobalGH,Climate!$I$50,Climate!$F$50)&gt;Crops!$M$11,"H",IF(IF(GlobalGH,Climate!$H$50,Climate!$E$50)&lt;Crops!$K$11,"C","O")))</f>
        <v>O</v>
      </c>
      <c r="AV13" s="142" t="str">
        <f aca="false">IF(IF(GlobalGH,Climate!$G$51,Climate!$D$51)&lt;=0,"·",IF(IF(GlobalGH,Climate!$I$51,Climate!$F$51)&gt;Crops!$M$11,"H",IF(IF(GlobalGH,Climate!$H$51,Climate!$E$51)&lt;Crops!$K$11,"C","O")))</f>
        <v>O</v>
      </c>
      <c r="AW13" s="142" t="str">
        <f aca="false">IF(IF(GlobalGH,Climate!$G$52,Climate!$D$52)&lt;=0,"·",IF(IF(GlobalGH,Climate!$I$52,Climate!$F$52)&gt;Crops!$M$11,"H",IF(IF(GlobalGH,Climate!$H$52,Climate!$E$52)&lt;Crops!$K$11,"C","O")))</f>
        <v>O</v>
      </c>
      <c r="AX13" s="142" t="str">
        <f aca="false">IF(IF(GlobalGH,Climate!$G$53,Climate!$D$53)&lt;=0,"·",IF(IF(GlobalGH,Climate!$I$53,Climate!$F$53)&gt;Crops!$M$11,"H",IF(IF(GlobalGH,Climate!$H$53,Climate!$E$53)&lt;Crops!$K$11,"C","O")))</f>
        <v>O</v>
      </c>
      <c r="AY13" s="142" t="str">
        <f aca="false">IF(IF(GlobalGH,Climate!$G$54,Climate!$D$54)&lt;=0,"·",IF(IF(GlobalGH,Climate!$I$54,Climate!$F$54)&gt;Crops!$M$11,"H",IF(IF(GlobalGH,Climate!$H$54,Climate!$E$54)&lt;Crops!$K$11,"C","O")))</f>
        <v>O</v>
      </c>
      <c r="AZ13" s="142" t="str">
        <f aca="false">IF(IF(GlobalGH,Climate!$G$55,Climate!$D$55)&lt;=0,"·",IF(IF(GlobalGH,Climate!$I$55,Climate!$F$55)&gt;Crops!$M$11,"H",IF(IF(GlobalGH,Climate!$H$55,Climate!$E$55)&lt;Crops!$K$11,"C","O")))</f>
        <v>O</v>
      </c>
      <c r="BA13" s="142" t="str">
        <f aca="false">IF(IF(GlobalGH,Climate!$G$56,Climate!$D$56)&lt;=0,"·",IF(IF(GlobalGH,Climate!$I$56,Climate!$F$56)&gt;Crops!$M$11,"H",IF(IF(GlobalGH,Climate!$H$56,Climate!$E$56)&lt;Crops!$K$11,"C","O")))</f>
        <v>O</v>
      </c>
      <c r="BB13" s="142" t="str">
        <f aca="false">IF(IF(GlobalGH,Climate!$G$57,Climate!$D$57)&lt;=0,"·",IF(IF(GlobalGH,Climate!$I$57,Climate!$F$57)&gt;Crops!$M$11,"H",IF(IF(GlobalGH,Climate!$H$57,Climate!$E$57)&lt;Crops!$K$11,"C","O")))</f>
        <v>O</v>
      </c>
      <c r="BC13" s="142" t="str">
        <f aca="false">IF(IF(GlobalGH,Climate!$G$58,Climate!$D$58)&lt;=0,"·",IF(IF(GlobalGH,Climate!$I$58,Climate!$F$58)&gt;Crops!$M$11,"H",IF(IF(GlobalGH,Climate!$H$58,Climate!$E$58)&lt;Crops!$K$11,"C","O")))</f>
        <v>O</v>
      </c>
      <c r="BD13" s="142" t="str">
        <f aca="false">IF(IF(GlobalGH,Climate!$G$59,Climate!$D$59)&lt;=0,"·",IF(IF(GlobalGH,Climate!$I$59,Climate!$F$59)&gt;Crops!$M$11,"H",IF(IF(GlobalGH,Climate!$H$59,Climate!$E$59)&lt;Crops!$K$11,"C","O")))</f>
        <v>O</v>
      </c>
      <c r="BE13" s="142" t="str">
        <f aca="false">IF(IF(GlobalGH,Climate!$G$60,Climate!$D$60)&lt;=0,"·",IF(IF(GlobalGH,Climate!$I$60,Climate!$F$60)&gt;Crops!$M$11,"H",IF(IF(GlobalGH,Climate!$H$60,Climate!$E$60)&lt;Crops!$K$11,"C","O")))</f>
        <v>O</v>
      </c>
      <c r="BF13" s="142" t="str">
        <f aca="false">IF(IF(GlobalGH,Climate!$G$61,Climate!$D$61)&lt;=0,"·",IF(IF(GlobalGH,Climate!$I$61,Climate!$F$61)&gt;Crops!$M$11,"H",IF(IF(GlobalGH,Climate!$H$61,Climate!$E$61)&lt;Crops!$K$11,"C","O")))</f>
        <v>O</v>
      </c>
      <c r="BG13" s="142" t="str">
        <f aca="false">IF(IF(GlobalGH,Climate!$G$62,Climate!$D$62)&lt;=0,"·",IF(IF(GlobalGH,Climate!$I$62,Climate!$F$62)&gt;Crops!$M$11,"H",IF(IF(GlobalGH,Climate!$H$62,Climate!$E$62)&lt;Crops!$K$11,"C","O")))</f>
        <v>O</v>
      </c>
      <c r="BH13" s="142" t="str">
        <f aca="false">IF(IF(GlobalGH,Climate!$G$63,Climate!$D$63)&lt;=0,"·",IF(IF(GlobalGH,Climate!$I$63,Climate!$F$63)&gt;Crops!$M$11,"H",IF(IF(GlobalGH,Climate!$H$63,Climate!$E$63)&lt;Crops!$K$11,"C","O")))</f>
        <v>O</v>
      </c>
      <c r="BI13" s="142" t="str">
        <f aca="false">IF(IF(GlobalGH,Climate!$G$64,Climate!$D$64)&lt;=0,"·",IF(IF(GlobalGH,Climate!$I$64,Climate!$F$64)&gt;Crops!$M$11,"H",IF(IF(GlobalGH,Climate!$H$64,Climate!$E$64)&lt;Crops!$K$11,"C","O")))</f>
        <v>O</v>
      </c>
      <c r="BJ13" s="142" t="str">
        <f aca="false">IF(IF(GlobalGH,Climate!$G$65,Climate!$D$65)&lt;=0,"·",IF(IF(GlobalGH,Climate!$I$65,Climate!$F$65)&gt;Crops!$M$11,"H",IF(IF(GlobalGH,Climate!$H$65,Climate!$E$65)&lt;Crops!$K$11,"C","O")))</f>
        <v>O</v>
      </c>
      <c r="BK13" s="142" t="str">
        <f aca="false">IF(IF(GlobalGH,Climate!$G$66,Climate!$D$66)&lt;=0,"·",IF(IF(GlobalGH,Climate!$I$66,Climate!$F$66)&gt;Crops!$M$11,"H",IF(IF(GlobalGH,Climate!$H$66,Climate!$E$66)&lt;Crops!$K$11,"C","O")))</f>
        <v>O</v>
      </c>
      <c r="BL13" s="142" t="str">
        <f aca="false">IF(IF(GlobalGH,Climate!$G$67,Climate!$D$67)&lt;=0,"·",IF(IF(GlobalGH,Climate!$I$67,Climate!$F$67)&gt;Crops!$M$11,"H",IF(IF(GlobalGH,Climate!$H$67,Climate!$E$67)&lt;Crops!$K$11,"C","O")))</f>
        <v>O</v>
      </c>
      <c r="BM13" s="142" t="str">
        <f aca="false">IF(IF(GlobalGH,Climate!$G$68,Climate!$D$68)&lt;=0,"·",IF(IF(GlobalGH,Climate!$I$68,Climate!$F$68)&gt;Crops!$M$11,"H",IF(IF(GlobalGH,Climate!$H$68,Climate!$E$68)&lt;Crops!$K$11,"C","O")))</f>
        <v>O</v>
      </c>
      <c r="BN13" s="142" t="str">
        <f aca="false">IF(IF(GlobalGH,Climate!$G$69,Climate!$D$69)&lt;=0,"·",IF(IF(GlobalGH,Climate!$I$69,Climate!$F$69)&gt;Crops!$M$11,"H",IF(IF(GlobalGH,Climate!$H$69,Climate!$E$69)&lt;Crops!$K$11,"C","O")))</f>
        <v>O</v>
      </c>
      <c r="BO13" s="142" t="str">
        <f aca="false">IF(IF(GlobalGH,Climate!$G$70,Climate!$D$70)&lt;=0,"·",IF(IF(GlobalGH,Climate!$I$70,Climate!$F$70)&gt;Crops!$M$11,"H",IF(IF(GlobalGH,Climate!$H$70,Climate!$E$70)&lt;Crops!$K$11,"C","O")))</f>
        <v>O</v>
      </c>
      <c r="BP13" s="142" t="str">
        <f aca="false">IF(IF(GlobalGH,Climate!$G$71,Climate!$D$71)&lt;=0,"·",IF(IF(GlobalGH,Climate!$I$71,Climate!$F$71)&gt;Crops!$M$11,"H",IF(IF(GlobalGH,Climate!$H$71,Climate!$E$71)&lt;Crops!$K$11,"C","O")))</f>
        <v>O</v>
      </c>
      <c r="BQ13" s="142" t="str">
        <f aca="false">IF(IF(GlobalGH,Climate!$G$72,Climate!$D$72)&lt;=0,"·",IF(IF(GlobalGH,Climate!$I$72,Climate!$F$72)&gt;Crops!$M$11,"H",IF(IF(GlobalGH,Climate!$H$72,Climate!$E$72)&lt;Crops!$K$11,"C","O")))</f>
        <v>O</v>
      </c>
      <c r="BR13" s="142" t="str">
        <f aca="false">IF(IF(GlobalGH,Climate!$G$73,Climate!$D$73)&lt;=0,"·",IF(IF(GlobalGH,Climate!$I$73,Climate!$F$73)&gt;Crops!$M$11,"H",IF(IF(GlobalGH,Climate!$H$73,Climate!$E$73)&lt;Crops!$K$11,"C","O")))</f>
        <v>O</v>
      </c>
      <c r="BS13" s="142" t="str">
        <f aca="false">IF(IF(GlobalGH,Climate!$G$74,Climate!$D$74)&lt;=0,"·",IF(IF(GlobalGH,Climate!$I$74,Climate!$F$74)&gt;Crops!$M$11,"H",IF(IF(GlobalGH,Climate!$H$74,Climate!$E$74)&lt;Crops!$K$11,"C","O")))</f>
        <v>O</v>
      </c>
      <c r="BT13" s="142" t="str">
        <f aca="false">IF(IF(GlobalGH,Climate!$G$75,Climate!$D$75)&lt;=0,"·",IF(IF(GlobalGH,Climate!$I$75,Climate!$F$75)&gt;Crops!$M$11,"H",IF(IF(GlobalGH,Climate!$H$75,Climate!$E$75)&lt;Crops!$K$11,"C","O")))</f>
        <v>O</v>
      </c>
      <c r="BU13" s="142" t="str">
        <f aca="false">IF(IF(GlobalGH,Climate!$G$76,Climate!$D$76)&lt;=0,"·",IF(IF(GlobalGH,Climate!$I$76,Climate!$F$76)&gt;Crops!$M$11,"H",IF(IF(GlobalGH,Climate!$H$76,Climate!$E$76)&lt;Crops!$K$11,"C","O")))</f>
        <v>O</v>
      </c>
      <c r="BV13" s="142" t="str">
        <f aca="false">IF(IF(GlobalGH,Climate!$G$77,Climate!$D$77)&lt;=0,"·",IF(IF(GlobalGH,Climate!$I$77,Climate!$F$77)&gt;Crops!$M$11,"H",IF(IF(GlobalGH,Climate!$H$77,Climate!$E$77)&lt;Crops!$K$11,"C","O")))</f>
        <v>O</v>
      </c>
      <c r="BW13" s="142" t="str">
        <f aca="false">IF(IF(GlobalGH,Climate!$G$78,Climate!$D$78)&lt;=0,"·",IF(IF(GlobalGH,Climate!$I$78,Climate!$F$78)&gt;Crops!$M$11,"H",IF(IF(GlobalGH,Climate!$H$78,Climate!$E$78)&lt;Crops!$K$11,"C","O")))</f>
        <v>O</v>
      </c>
      <c r="BX13" s="142" t="str">
        <f aca="false">IF(IF(GlobalGH,Climate!$G$79,Climate!$D$79)&lt;=0,"·",IF(IF(GlobalGH,Climate!$I$79,Climate!$F$79)&gt;Crops!$M$11,"H",IF(IF(GlobalGH,Climate!$H$79,Climate!$E$79)&lt;Crops!$K$11,"C","O")))</f>
        <v>C</v>
      </c>
      <c r="BY13" s="142" t="str">
        <f aca="false">IF(IF(GlobalGH,Climate!$G$80,Climate!$D$80)&lt;=0,"·",IF(IF(GlobalGH,Climate!$I$80,Climate!$F$80)&gt;Crops!$M$11,"H",IF(IF(GlobalGH,Climate!$H$80,Climate!$E$80)&lt;Crops!$K$11,"C","O")))</f>
        <v>O</v>
      </c>
      <c r="BZ13" s="142" t="str">
        <f aca="false">IF(IF(GlobalGH,Climate!$G$81,Climate!$D$81)&lt;=0,"·",IF(IF(GlobalGH,Climate!$I$81,Climate!$F$81)&gt;Crops!$M$11,"H",IF(IF(GlobalGH,Climate!$H$81,Climate!$E$81)&lt;Crops!$K$11,"C","O")))</f>
        <v>C</v>
      </c>
      <c r="CA13" s="142" t="str">
        <f aca="false">IF(IF(GlobalGH,Climate!$G$82,Climate!$D$82)&lt;=0,"·",IF(IF(GlobalGH,Climate!$I$82,Climate!$F$82)&gt;Crops!$M$11,"H",IF(IF(GlobalGH,Climate!$H$82,Climate!$E$82)&lt;Crops!$K$11,"C","O")))</f>
        <v>C</v>
      </c>
      <c r="CB13" s="142" t="str">
        <f aca="false">IF(IF(GlobalGH,Climate!$G$83,Climate!$D$83)&lt;=0,"·",IF(IF(GlobalGH,Climate!$I$83,Climate!$F$83)&gt;Crops!$M$11,"H",IF(IF(GlobalGH,Climate!$H$83,Climate!$E$83)&lt;Crops!$K$11,"C","O")))</f>
        <v>C</v>
      </c>
      <c r="CC13" s="142" t="str">
        <f aca="false">IF(IF(GlobalGH,Climate!$G$84,Climate!$D$84)&lt;=0,"·",IF(IF(GlobalGH,Climate!$I$84,Climate!$F$84)&gt;Crops!$M$11,"H",IF(IF(GlobalGH,Climate!$H$84,Climate!$E$84)&lt;Crops!$K$11,"C","O")))</f>
        <v>C</v>
      </c>
      <c r="CD13" s="142" t="str">
        <f aca="false">IF(IF(GlobalGH,Climate!$G$85,Climate!$D$85)&lt;=0,"·",IF(IF(GlobalGH,Climate!$I$85,Climate!$F$85)&gt;Crops!$M$11,"H",IF(IF(GlobalGH,Climate!$H$85,Climate!$E$85)&lt;Crops!$K$11,"C","O")))</f>
        <v>C</v>
      </c>
      <c r="CE13" s="142" t="str">
        <f aca="false">IF(IF(GlobalGH,Climate!$G$86,Climate!$D$86)&lt;=0,"·",IF(IF(GlobalGH,Climate!$I$86,Climate!$F$86)&gt;Crops!$M$11,"H",IF(IF(GlobalGH,Climate!$H$86,Climate!$E$86)&lt;Crops!$K$11,"C","O")))</f>
        <v>C</v>
      </c>
      <c r="CF13" s="142" t="str">
        <f aca="false">IF(IF(GlobalGH,Climate!$G$87,Climate!$D$87)&lt;=0,"·",IF(IF(GlobalGH,Climate!$I$87,Climate!$F$87)&gt;Crops!$M$11,"H",IF(IF(GlobalGH,Climate!$H$87,Climate!$E$87)&lt;Crops!$K$11,"C","O")))</f>
        <v>C</v>
      </c>
      <c r="CG13" s="142" t="str">
        <f aca="false">IF(IF(GlobalGH,Climate!$G$88,Climate!$D$88)&lt;=0,"·",IF(IF(GlobalGH,Climate!$I$88,Climate!$F$88)&gt;Crops!$M$11,"H",IF(IF(GlobalGH,Climate!$H$88,Climate!$E$88)&lt;Crops!$K$11,"C","O")))</f>
        <v>·</v>
      </c>
      <c r="CH13" s="142" t="str">
        <f aca="false">IF(IF(GlobalGH,Climate!$G$89,Climate!$D$89)&lt;=0,"·",IF(IF(GlobalGH,Climate!$I$89,Climate!$F$89)&gt;Crops!$M$11,"H",IF(IF(GlobalGH,Climate!$H$89,Climate!$E$89)&lt;Crops!$K$11,"C","O")))</f>
        <v>·</v>
      </c>
      <c r="CI13" s="142" t="str">
        <f aca="false">IF(IF(GlobalGH,Climate!$G$90,Climate!$D$90)&lt;=0,"·",IF(IF(GlobalGH,Climate!$I$90,Climate!$F$90)&gt;Crops!$M$11,"H",IF(IF(GlobalGH,Climate!$H$90,Climate!$E$90)&lt;Crops!$K$11,"C","O")))</f>
        <v>·</v>
      </c>
      <c r="CJ13" s="142" t="str">
        <f aca="false">IF(IF(GlobalGH,Climate!$G$91,Climate!$D$91)&lt;=0,"·",IF(IF(GlobalGH,Climate!$I$91,Climate!$F$91)&gt;Crops!$M$11,"H",IF(IF(GlobalGH,Climate!$H$91,Climate!$E$91)&lt;Crops!$K$11,"C","O")))</f>
        <v>·</v>
      </c>
      <c r="CK13" s="142" t="str">
        <f aca="false">IF(IF(GlobalGH,Climate!$G$92,Climate!$D$92)&lt;=0,"·",IF(IF(GlobalGH,Climate!$I$92,Climate!$F$92)&gt;Crops!$M$11,"H",IF(IF(GlobalGH,Climate!$H$92,Climate!$E$92)&lt;Crops!$K$11,"C","O")))</f>
        <v>·</v>
      </c>
      <c r="CL13" s="142" t="str">
        <f aca="false">IF(IF(GlobalGH,Climate!$G$93,Climate!$D$93)&lt;=0,"·",IF(IF(GlobalGH,Climate!$I$93,Climate!$F$93)&gt;Crops!$M$11,"H",IF(IF(GlobalGH,Climate!$H$93,Climate!$E$93)&lt;Crops!$K$11,"C","O")))</f>
        <v>·</v>
      </c>
      <c r="CM13" s="142" t="str">
        <f aca="false">IF(IF(GlobalGH,Climate!$G$94,Climate!$D$94)&lt;=0,"·",IF(IF(GlobalGH,Climate!$I$94,Climate!$F$94)&gt;Crops!$M$11,"H",IF(IF(GlobalGH,Climate!$H$94,Climate!$E$94)&lt;Crops!$K$11,"C","O")))</f>
        <v>·</v>
      </c>
      <c r="CN13" s="142" t="str">
        <f aca="false">IF(IF(GlobalGH,Climate!$G$95,Climate!$D$95)&lt;=0,"·",IF(IF(GlobalGH,Climate!$I$95,Climate!$F$95)&gt;Crops!$M$11,"H",IF(IF(GlobalGH,Climate!$H$95,Climate!$E$95)&lt;Crops!$K$11,"C","O")))</f>
        <v>·</v>
      </c>
      <c r="CO13" s="142" t="str">
        <f aca="false">IF(IF(GlobalGH,Climate!$G$96,Climate!$D$96)&lt;=0,"·",IF(IF(GlobalGH,Climate!$I$96,Climate!$F$96)&gt;Crops!$M$11,"H",IF(IF(GlobalGH,Climate!$H$96,Climate!$E$96)&lt;Crops!$K$11,"C","O")))</f>
        <v>·</v>
      </c>
      <c r="CP13" s="142" t="str">
        <f aca="false">IF(IF(GlobalGH,Climate!$G$97,Climate!$D$97)&lt;=0,"·",IF(IF(GlobalGH,Climate!$I$97,Climate!$F$97)&gt;Crops!$M$11,"H",IF(IF(GlobalGH,Climate!$H$97,Climate!$E$97)&lt;Crops!$K$11,"C","O")))</f>
        <v>·</v>
      </c>
      <c r="CQ13" s="142" t="str">
        <f aca="false">IF(IF(GlobalGH,Climate!$G$98,Climate!$D$98)&lt;=0,"·",IF(IF(GlobalGH,Climate!$I$98,Climate!$F$98)&gt;Crops!$M$11,"H",IF(IF(GlobalGH,Climate!$H$98,Climate!$E$98)&lt;Crops!$K$11,"C","O")))</f>
        <v>·</v>
      </c>
      <c r="CR13" s="142" t="str">
        <f aca="false">IF(IF(GlobalGH,Climate!$G$99,Climate!$D$99)&lt;=0,"·",IF(IF(GlobalGH,Climate!$I$99,Climate!$F$99)&gt;Crops!$M$11,"H",IF(IF(GlobalGH,Climate!$H$99,Climate!$E$99)&lt;Crops!$K$11,"C","O")))</f>
        <v>·</v>
      </c>
      <c r="CS13" s="142" t="str">
        <f aca="false">IF(IF(GlobalGH,Climate!$G$100,Climate!$D$100)&lt;=0,"·",IF(IF(GlobalGH,Climate!$I$100,Climate!$F$100)&gt;Crops!$M$11,"H",IF(IF(GlobalGH,Climate!$H$100,Climate!$E$100)&lt;Crops!$K$11,"C","O")))</f>
        <v>·</v>
      </c>
      <c r="CT13" s="142" t="str">
        <f aca="false">IF(IF(GlobalGH,Climate!$G$101,Climate!$D$101)&lt;=0,"·",IF(IF(GlobalGH,Climate!$I$101,Climate!$F$101)&gt;Crops!$M$11,"H",IF(IF(GlobalGH,Climate!$H$101,Climate!$E$101)&lt;Crops!$K$11,"C","O")))</f>
        <v>·</v>
      </c>
      <c r="CU13" s="142" t="str">
        <f aca="false">IF(IF(GlobalGH,Climate!$G$102,Climate!$D$102)&lt;=0,"·",IF(IF(GlobalGH,Climate!$I$102,Climate!$F$102)&gt;Crops!$M$11,"H",IF(IF(GlobalGH,Climate!$H$102,Climate!$E$102)&lt;Crops!$K$11,"C","O")))</f>
        <v>·</v>
      </c>
      <c r="CV13" s="142" t="str">
        <f aca="false">IF(IF(GlobalGH,Climate!$G$103,Climate!$D$103)&lt;=0,"·",IF(IF(GlobalGH,Climate!$I$103,Climate!$F$103)&gt;Crops!$M$11,"H",IF(IF(GlobalGH,Climate!$H$103,Climate!$E$103)&lt;Crops!$K$11,"C","O")))</f>
        <v>·</v>
      </c>
      <c r="CW13" s="142" t="str">
        <f aca="false">IF(IF(GlobalGH,Climate!$G$104,Climate!$D$104)&lt;=0,"·",IF(IF(GlobalGH,Climate!$I$104,Climate!$F$104)&gt;Crops!$M$11,"H",IF(IF(GlobalGH,Climate!$H$104,Climate!$E$104)&lt;Crops!$K$11,"C","O")))</f>
        <v>·</v>
      </c>
      <c r="CX13" s="142" t="str">
        <f aca="false">IF(IF(GlobalGH,Climate!$G$105,Climate!$D$105)&lt;=0,"·",IF(IF(GlobalGH,Climate!$I$105,Climate!$F$105)&gt;Crops!$M$11,"H",IF(IF(GlobalGH,Climate!$H$105,Climate!$E$105)&lt;Crops!$K$11,"C","O")))</f>
        <v>·</v>
      </c>
      <c r="CY13" s="142" t="str">
        <f aca="false">IF(IF(GlobalGH,Climate!$G$106,Climate!$D$106)&lt;=0,"·",IF(IF(GlobalGH,Climate!$I$106,Climate!$F$106)&gt;Crops!$M$11,"H",IF(IF(GlobalGH,Climate!$H$106,Climate!$E$106)&lt;Crops!$K$11,"C","O")))</f>
        <v>·</v>
      </c>
      <c r="CZ13" s="142" t="str">
        <f aca="false">IF(IF(GlobalGH,Climate!$G$107,Climate!$D$107)&lt;=0,"·",IF(IF(GlobalGH,Climate!$I$107,Climate!$F$107)&gt;Crops!$M$11,"H",IF(IF(GlobalGH,Climate!$H$107,Climate!$E$107)&lt;Crops!$K$11,"C","O")))</f>
        <v>·</v>
      </c>
      <c r="DA13" s="142" t="str">
        <f aca="false">IF(IF(GlobalGH,Climate!$G$108,Climate!$D$108)&lt;=0,"·",IF(IF(GlobalGH,Climate!$I$108,Climate!$F$108)&gt;Crops!$M$11,"H",IF(IF(GlobalGH,Climate!$H$108,Climate!$E$108)&lt;Crops!$K$11,"C","O")))</f>
        <v>·</v>
      </c>
      <c r="DB13" s="142" t="str">
        <f aca="false">IF(IF(GlobalGH,Climate!$G$109,Climate!$D$109)&lt;=0,"·",IF(IF(GlobalGH,Climate!$I$109,Climate!$F$109)&gt;Crops!$M$11,"H",IF(IF(GlobalGH,Climate!$H$109,Climate!$E$109)&lt;Crops!$K$11,"C","O")))</f>
        <v>·</v>
      </c>
      <c r="DC13" s="142" t="str">
        <f aca="false">IF(IF(GlobalGH,Climate!$G$110,Climate!$D$110)&lt;=0,"·",IF(IF(GlobalGH,Climate!$I$110,Climate!$F$110)&gt;Crops!$M$11,"H",IF(IF(GlobalGH,Climate!$H$110,Climate!$E$110)&lt;Crops!$K$11,"C","O")))</f>
        <v>·</v>
      </c>
      <c r="DD13" s="142" t="str">
        <f aca="false">IF(IF(GlobalGH,Climate!$G$111,Climate!$D$111)&lt;=0,"·",IF(IF(GlobalGH,Climate!$I$111,Climate!$F$111)&gt;Crops!$M$11,"H",IF(IF(GlobalGH,Climate!$H$111,Climate!$E$111)&lt;Crops!$K$11,"C","O")))</f>
        <v>·</v>
      </c>
      <c r="DE13" s="142" t="str">
        <f aca="false">IF(IF(GlobalGH,Climate!$G$112,Climate!$D$112)&lt;=0,"·",IF(IF(GlobalGH,Climate!$I$112,Climate!$F$112)&gt;Crops!$M$11,"H",IF(IF(GlobalGH,Climate!$H$112,Climate!$E$112)&lt;Crops!$K$11,"C","O")))</f>
        <v>·</v>
      </c>
      <c r="DF13" s="143" t="n">
        <f aca="false">COUNTIF(B13:DE13,"O")</f>
        <v>33</v>
      </c>
      <c r="DG13" s="139" t="s">
        <v>421</v>
      </c>
    </row>
    <row r="14" customFormat="false" ht="15" hidden="false" customHeight="true" outlineLevel="0" collapsed="false">
      <c r="A14" s="144" t="str">
        <f aca="false">Crops!$B$12</f>
        <v>Cabbage</v>
      </c>
      <c r="B14" s="142" t="str">
        <f aca="false">IF(IF(GlobalGH,Climate!$G$5,Climate!$D$5)&lt;=0,"·",IF(IF(GlobalGH,Climate!$I$5,Climate!$F$5)&gt;Crops!$M$12,"H",IF(IF(GlobalGH,Climate!$H$5,Climate!$E$5)&lt;Crops!$K$12,"C","O")))</f>
        <v>·</v>
      </c>
      <c r="C14" s="142" t="str">
        <f aca="false">IF(IF(GlobalGH,Climate!$G$6,Climate!$D$6)&lt;=0,"·",IF(IF(GlobalGH,Climate!$I$6,Climate!$F$6)&gt;Crops!$M$12,"H",IF(IF(GlobalGH,Climate!$H$6,Climate!$E$6)&lt;Crops!$K$12,"C","O")))</f>
        <v>·</v>
      </c>
      <c r="D14" s="142" t="str">
        <f aca="false">IF(IF(GlobalGH,Climate!$G$7,Climate!$D$7)&lt;=0,"·",IF(IF(GlobalGH,Climate!$I$7,Climate!$F$7)&gt;Crops!$M$12,"H",IF(IF(GlobalGH,Climate!$H$7,Climate!$E$7)&lt;Crops!$K$12,"C","O")))</f>
        <v>·</v>
      </c>
      <c r="E14" s="142" t="str">
        <f aca="false">IF(IF(GlobalGH,Climate!$G$8,Climate!$D$8)&lt;=0,"·",IF(IF(GlobalGH,Climate!$I$8,Climate!$F$8)&gt;Crops!$M$12,"H",IF(IF(GlobalGH,Climate!$H$8,Climate!$E$8)&lt;Crops!$K$12,"C","O")))</f>
        <v>·</v>
      </c>
      <c r="F14" s="142" t="str">
        <f aca="false">IF(IF(GlobalGH,Climate!$G$9,Climate!$D$9)&lt;=0,"·",IF(IF(GlobalGH,Climate!$I$9,Climate!$F$9)&gt;Crops!$M$12,"H",IF(IF(GlobalGH,Climate!$H$9,Climate!$E$9)&lt;Crops!$K$12,"C","O")))</f>
        <v>·</v>
      </c>
      <c r="G14" s="142" t="str">
        <f aca="false">IF(IF(GlobalGH,Climate!$G$10,Climate!$D$10)&lt;=0,"·",IF(IF(GlobalGH,Climate!$I$10,Climate!$F$10)&gt;Crops!$M$12,"H",IF(IF(GlobalGH,Climate!$H$10,Climate!$E$10)&lt;Crops!$K$12,"C","O")))</f>
        <v>·</v>
      </c>
      <c r="H14" s="142" t="str">
        <f aca="false">IF(IF(GlobalGH,Climate!$G$11,Climate!$D$11)&lt;=0,"·",IF(IF(GlobalGH,Climate!$I$11,Climate!$F$11)&gt;Crops!$M$12,"H",IF(IF(GlobalGH,Climate!$H$11,Climate!$E$11)&lt;Crops!$K$12,"C","O")))</f>
        <v>·</v>
      </c>
      <c r="I14" s="142" t="str">
        <f aca="false">IF(IF(GlobalGH,Climate!$G$12,Climate!$D$12)&lt;=0,"·",IF(IF(GlobalGH,Climate!$I$12,Climate!$F$12)&gt;Crops!$M$12,"H",IF(IF(GlobalGH,Climate!$H$12,Climate!$E$12)&lt;Crops!$K$12,"C","O")))</f>
        <v>·</v>
      </c>
      <c r="J14" s="142" t="str">
        <f aca="false">IF(IF(GlobalGH,Climate!$G$13,Climate!$D$13)&lt;=0,"·",IF(IF(GlobalGH,Climate!$I$13,Climate!$F$13)&gt;Crops!$M$12,"H",IF(IF(GlobalGH,Climate!$H$13,Climate!$E$13)&lt;Crops!$K$12,"C","O")))</f>
        <v>·</v>
      </c>
      <c r="K14" s="142" t="str">
        <f aca="false">IF(IF(GlobalGH,Climate!$G$14,Climate!$D$14)&lt;=0,"·",IF(IF(GlobalGH,Climate!$I$14,Climate!$F$14)&gt;Crops!$M$12,"H",IF(IF(GlobalGH,Climate!$H$14,Climate!$E$14)&lt;Crops!$K$12,"C","O")))</f>
        <v>·</v>
      </c>
      <c r="L14" s="142" t="str">
        <f aca="false">IF(IF(GlobalGH,Climate!$G$15,Climate!$D$15)&lt;=0,"·",IF(IF(GlobalGH,Climate!$I$15,Climate!$F$15)&gt;Crops!$M$12,"H",IF(IF(GlobalGH,Climate!$H$15,Climate!$E$15)&lt;Crops!$K$12,"C","O")))</f>
        <v>·</v>
      </c>
      <c r="M14" s="142" t="str">
        <f aca="false">IF(IF(GlobalGH,Climate!$G$16,Climate!$D$16)&lt;=0,"·",IF(IF(GlobalGH,Climate!$I$16,Climate!$F$16)&gt;Crops!$M$12,"H",IF(IF(GlobalGH,Climate!$H$16,Climate!$E$16)&lt;Crops!$K$12,"C","O")))</f>
        <v>·</v>
      </c>
      <c r="N14" s="142" t="str">
        <f aca="false">IF(IF(GlobalGH,Climate!$G$17,Climate!$D$17)&lt;=0,"·",IF(IF(GlobalGH,Climate!$I$17,Climate!$F$17)&gt;Crops!$M$12,"H",IF(IF(GlobalGH,Climate!$H$17,Climate!$E$17)&lt;Crops!$K$12,"C","O")))</f>
        <v>·</v>
      </c>
      <c r="O14" s="142" t="str">
        <f aca="false">IF(IF(GlobalGH,Climate!$G$18,Climate!$D$18)&lt;=0,"·",IF(IF(GlobalGH,Climate!$I$18,Climate!$F$18)&gt;Crops!$M$12,"H",IF(IF(GlobalGH,Climate!$H$18,Climate!$E$18)&lt;Crops!$K$12,"C","O")))</f>
        <v>·</v>
      </c>
      <c r="P14" s="142" t="str">
        <f aca="false">IF(IF(GlobalGH,Climate!$G$19,Climate!$D$19)&lt;=0,"·",IF(IF(GlobalGH,Climate!$I$19,Climate!$F$19)&gt;Crops!$M$12,"H",IF(IF(GlobalGH,Climate!$H$19,Climate!$E$19)&lt;Crops!$K$12,"C","O")))</f>
        <v>·</v>
      </c>
      <c r="Q14" s="142" t="str">
        <f aca="false">IF(IF(GlobalGH,Climate!$G$20,Climate!$D$20)&lt;=0,"·",IF(IF(GlobalGH,Climate!$I$20,Climate!$F$20)&gt;Crops!$M$12,"H",IF(IF(GlobalGH,Climate!$H$20,Climate!$E$20)&lt;Crops!$K$12,"C","O")))</f>
        <v>·</v>
      </c>
      <c r="R14" s="142" t="str">
        <f aca="false">IF(IF(GlobalGH,Climate!$G$21,Climate!$D$21)&lt;=0,"·",IF(IF(GlobalGH,Climate!$I$21,Climate!$F$21)&gt;Crops!$M$12,"H",IF(IF(GlobalGH,Climate!$H$21,Climate!$E$21)&lt;Crops!$K$12,"C","O")))</f>
        <v>·</v>
      </c>
      <c r="S14" s="142" t="str">
        <f aca="false">IF(IF(GlobalGH,Climate!$G$22,Climate!$D$22)&lt;=0,"·",IF(IF(GlobalGH,Climate!$I$22,Climate!$F$22)&gt;Crops!$M$12,"H",IF(IF(GlobalGH,Climate!$H$22,Climate!$E$22)&lt;Crops!$K$12,"C","O")))</f>
        <v>·</v>
      </c>
      <c r="T14" s="142" t="str">
        <f aca="false">IF(IF(GlobalGH,Climate!$G$23,Climate!$D$23)&lt;=0,"·",IF(IF(GlobalGH,Climate!$I$23,Climate!$F$23)&gt;Crops!$M$12,"H",IF(IF(GlobalGH,Climate!$H$23,Climate!$E$23)&lt;Crops!$K$12,"C","O")))</f>
        <v>·</v>
      </c>
      <c r="U14" s="142" t="str">
        <f aca="false">IF(IF(GlobalGH,Climate!$G$24,Climate!$D$24)&lt;=0,"·",IF(IF(GlobalGH,Climate!$I$24,Climate!$F$24)&gt;Crops!$M$12,"H",IF(IF(GlobalGH,Climate!$H$24,Climate!$E$24)&lt;Crops!$K$12,"C","O")))</f>
        <v>·</v>
      </c>
      <c r="V14" s="142" t="str">
        <f aca="false">IF(IF(GlobalGH,Climate!$G$25,Climate!$D$25)&lt;=0,"·",IF(IF(GlobalGH,Climate!$I$25,Climate!$F$25)&gt;Crops!$M$12,"H",IF(IF(GlobalGH,Climate!$H$25,Climate!$E$25)&lt;Crops!$K$12,"C","O")))</f>
        <v>·</v>
      </c>
      <c r="W14" s="142" t="str">
        <f aca="false">IF(IF(GlobalGH,Climate!$G$26,Climate!$D$26)&lt;=0,"·",IF(IF(GlobalGH,Climate!$I$26,Climate!$F$26)&gt;Crops!$M$12,"H",IF(IF(GlobalGH,Climate!$H$26,Climate!$E$26)&lt;Crops!$K$12,"C","O")))</f>
        <v>·</v>
      </c>
      <c r="X14" s="142" t="str">
        <f aca="false">IF(IF(GlobalGH,Climate!$G$27,Climate!$D$27)&lt;=0,"·",IF(IF(GlobalGH,Climate!$I$27,Climate!$F$27)&gt;Crops!$M$12,"H",IF(IF(GlobalGH,Climate!$H$27,Climate!$E$27)&lt;Crops!$K$12,"C","O")))</f>
        <v>·</v>
      </c>
      <c r="Y14" s="142" t="str">
        <f aca="false">IF(IF(GlobalGH,Climate!$G$28,Climate!$D$28)&lt;=0,"·",IF(IF(GlobalGH,Climate!$I$28,Climate!$F$28)&gt;Crops!$M$12,"H",IF(IF(GlobalGH,Climate!$H$28,Climate!$E$28)&lt;Crops!$K$12,"C","O")))</f>
        <v>·</v>
      </c>
      <c r="Z14" s="142" t="str">
        <f aca="false">IF(IF(GlobalGH,Climate!$G$29,Climate!$D$29)&lt;=0,"·",IF(IF(GlobalGH,Climate!$I$29,Climate!$F$29)&gt;Crops!$M$12,"H",IF(IF(GlobalGH,Climate!$H$29,Climate!$E$29)&lt;Crops!$K$12,"C","O")))</f>
        <v>·</v>
      </c>
      <c r="AA14" s="142" t="str">
        <f aca="false">IF(IF(GlobalGH,Climate!$G$30,Climate!$D$30)&lt;=0,"·",IF(IF(GlobalGH,Climate!$I$30,Climate!$F$30)&gt;Crops!$M$12,"H",IF(IF(GlobalGH,Climate!$H$30,Climate!$E$30)&lt;Crops!$K$12,"C","O")))</f>
        <v>·</v>
      </c>
      <c r="AB14" s="142" t="str">
        <f aca="false">IF(IF(GlobalGH,Climate!$G$31,Climate!$D$31)&lt;=0,"·",IF(IF(GlobalGH,Climate!$I$31,Climate!$F$31)&gt;Crops!$M$12,"H",IF(IF(GlobalGH,Climate!$H$31,Climate!$E$31)&lt;Crops!$K$12,"C","O")))</f>
        <v>·</v>
      </c>
      <c r="AC14" s="142" t="str">
        <f aca="false">IF(IF(GlobalGH,Climate!$G$32,Climate!$D$32)&lt;=0,"·",IF(IF(GlobalGH,Climate!$I$32,Climate!$F$32)&gt;Crops!$M$12,"H",IF(IF(GlobalGH,Climate!$H$32,Climate!$E$32)&lt;Crops!$K$12,"C","O")))</f>
        <v>·</v>
      </c>
      <c r="AD14" s="142" t="str">
        <f aca="false">IF(IF(GlobalGH,Climate!$G$33,Climate!$D$33)&lt;=0,"·",IF(IF(GlobalGH,Climate!$I$33,Climate!$F$33)&gt;Crops!$M$12,"H",IF(IF(GlobalGH,Climate!$H$33,Climate!$E$33)&lt;Crops!$K$12,"C","O")))</f>
        <v>·</v>
      </c>
      <c r="AE14" s="142" t="str">
        <f aca="false">IF(IF(GlobalGH,Climate!$G$34,Climate!$D$34)&lt;=0,"·",IF(IF(GlobalGH,Climate!$I$34,Climate!$F$34)&gt;Crops!$M$12,"H",IF(IF(GlobalGH,Climate!$H$34,Climate!$E$34)&lt;Crops!$K$12,"C","O")))</f>
        <v>·</v>
      </c>
      <c r="AF14" s="142" t="str">
        <f aca="false">IF(IF(GlobalGH,Climate!$G$35,Climate!$D$35)&lt;=0,"·",IF(IF(GlobalGH,Climate!$I$35,Climate!$F$35)&gt;Crops!$M$12,"H",IF(IF(GlobalGH,Climate!$H$35,Climate!$E$35)&lt;Crops!$K$12,"C","O")))</f>
        <v>·</v>
      </c>
      <c r="AG14" s="142" t="str">
        <f aca="false">IF(IF(GlobalGH,Climate!$G$36,Climate!$D$36)&lt;=0,"·",IF(IF(GlobalGH,Climate!$I$36,Climate!$F$36)&gt;Crops!$M$12,"H",IF(IF(GlobalGH,Climate!$H$36,Climate!$E$36)&lt;Crops!$K$12,"C","O")))</f>
        <v>·</v>
      </c>
      <c r="AH14" s="142" t="str">
        <f aca="false">IF(IF(GlobalGH,Climate!$G$37,Climate!$D$37)&lt;=0,"·",IF(IF(GlobalGH,Climate!$I$37,Climate!$F$37)&gt;Crops!$M$12,"H",IF(IF(GlobalGH,Climate!$H$37,Climate!$E$37)&lt;Crops!$K$12,"C","O")))</f>
        <v>·</v>
      </c>
      <c r="AI14" s="142" t="str">
        <f aca="false">IF(IF(GlobalGH,Climate!$G$38,Climate!$D$38)&lt;=0,"·",IF(IF(GlobalGH,Climate!$I$38,Climate!$F$38)&gt;Crops!$M$12,"H",IF(IF(GlobalGH,Climate!$H$38,Climate!$E$38)&lt;Crops!$K$12,"C","O")))</f>
        <v>C</v>
      </c>
      <c r="AJ14" s="142" t="str">
        <f aca="false">IF(IF(GlobalGH,Climate!$G$39,Climate!$D$39)&lt;=0,"·",IF(IF(GlobalGH,Climate!$I$39,Climate!$F$39)&gt;Crops!$M$12,"H",IF(IF(GlobalGH,Climate!$H$39,Climate!$E$39)&lt;Crops!$K$12,"C","O")))</f>
        <v>C</v>
      </c>
      <c r="AK14" s="142" t="str">
        <f aca="false">IF(IF(GlobalGH,Climate!$G$40,Climate!$D$40)&lt;=0,"·",IF(IF(GlobalGH,Climate!$I$40,Climate!$F$40)&gt;Crops!$M$12,"H",IF(IF(GlobalGH,Climate!$H$40,Climate!$E$40)&lt;Crops!$K$12,"C","O")))</f>
        <v>C</v>
      </c>
      <c r="AL14" s="142" t="str">
        <f aca="false">IF(IF(GlobalGH,Climate!$G$41,Climate!$D$41)&lt;=0,"·",IF(IF(GlobalGH,Climate!$I$41,Climate!$F$41)&gt;Crops!$M$12,"H",IF(IF(GlobalGH,Climate!$H$41,Climate!$E$41)&lt;Crops!$K$12,"C","O")))</f>
        <v>C</v>
      </c>
      <c r="AM14" s="142" t="str">
        <f aca="false">IF(IF(GlobalGH,Climate!$G$42,Climate!$D$42)&lt;=0,"·",IF(IF(GlobalGH,Climate!$I$42,Climate!$F$42)&gt;Crops!$M$12,"H",IF(IF(GlobalGH,Climate!$H$42,Climate!$E$42)&lt;Crops!$K$12,"C","O")))</f>
        <v>C</v>
      </c>
      <c r="AN14" s="142" t="str">
        <f aca="false">IF(IF(GlobalGH,Climate!$G$43,Climate!$D$43)&lt;=0,"·",IF(IF(GlobalGH,Climate!$I$43,Climate!$F$43)&gt;Crops!$M$12,"H",IF(IF(GlobalGH,Climate!$H$43,Climate!$E$43)&lt;Crops!$K$12,"C","O")))</f>
        <v>C</v>
      </c>
      <c r="AO14" s="142" t="str">
        <f aca="false">IF(IF(GlobalGH,Climate!$G$44,Climate!$D$44)&lt;=0,"·",IF(IF(GlobalGH,Climate!$I$44,Climate!$F$44)&gt;Crops!$M$12,"H",IF(IF(GlobalGH,Climate!$H$44,Climate!$E$44)&lt;Crops!$K$12,"C","O")))</f>
        <v>C</v>
      </c>
      <c r="AP14" s="142" t="str">
        <f aca="false">IF(IF(GlobalGH,Climate!$G$45,Climate!$D$45)&lt;=0,"·",IF(IF(GlobalGH,Climate!$I$45,Climate!$F$45)&gt;Crops!$M$12,"H",IF(IF(GlobalGH,Climate!$H$45,Climate!$E$45)&lt;Crops!$K$12,"C","O")))</f>
        <v>C</v>
      </c>
      <c r="AQ14" s="142" t="str">
        <f aca="false">IF(IF(GlobalGH,Climate!$G$46,Climate!$D$46)&lt;=0,"·",IF(IF(GlobalGH,Climate!$I$46,Climate!$F$46)&gt;Crops!$M$12,"H",IF(IF(GlobalGH,Climate!$H$46,Climate!$E$46)&lt;Crops!$K$12,"C","O")))</f>
        <v>C</v>
      </c>
      <c r="AR14" s="142" t="str">
        <f aca="false">IF(IF(GlobalGH,Climate!$G$47,Climate!$D$47)&lt;=0,"·",IF(IF(GlobalGH,Climate!$I$47,Climate!$F$47)&gt;Crops!$M$12,"H",IF(IF(GlobalGH,Climate!$H$47,Climate!$E$47)&lt;Crops!$K$12,"C","O")))</f>
        <v>O</v>
      </c>
      <c r="AS14" s="142" t="str">
        <f aca="false">IF(IF(GlobalGH,Climate!$G$48,Climate!$D$48)&lt;=0,"·",IF(IF(GlobalGH,Climate!$I$48,Climate!$F$48)&gt;Crops!$M$12,"H",IF(IF(GlobalGH,Climate!$H$48,Climate!$E$48)&lt;Crops!$K$12,"C","O")))</f>
        <v>O</v>
      </c>
      <c r="AT14" s="142" t="str">
        <f aca="false">IF(IF(GlobalGH,Climate!$G$49,Climate!$D$49)&lt;=0,"·",IF(IF(GlobalGH,Climate!$I$49,Climate!$F$49)&gt;Crops!$M$12,"H",IF(IF(GlobalGH,Climate!$H$49,Climate!$E$49)&lt;Crops!$K$12,"C","O")))</f>
        <v>O</v>
      </c>
      <c r="AU14" s="142" t="str">
        <f aca="false">IF(IF(GlobalGH,Climate!$G$50,Climate!$D$50)&lt;=0,"·",IF(IF(GlobalGH,Climate!$I$50,Climate!$F$50)&gt;Crops!$M$12,"H",IF(IF(GlobalGH,Climate!$H$50,Climate!$E$50)&lt;Crops!$K$12,"C","O")))</f>
        <v>O</v>
      </c>
      <c r="AV14" s="142" t="str">
        <f aca="false">IF(IF(GlobalGH,Climate!$G$51,Climate!$D$51)&lt;=0,"·",IF(IF(GlobalGH,Climate!$I$51,Climate!$F$51)&gt;Crops!$M$12,"H",IF(IF(GlobalGH,Climate!$H$51,Climate!$E$51)&lt;Crops!$K$12,"C","O")))</f>
        <v>O</v>
      </c>
      <c r="AW14" s="142" t="str">
        <f aca="false">IF(IF(GlobalGH,Climate!$G$52,Climate!$D$52)&lt;=0,"·",IF(IF(GlobalGH,Climate!$I$52,Climate!$F$52)&gt;Crops!$M$12,"H",IF(IF(GlobalGH,Climate!$H$52,Climate!$E$52)&lt;Crops!$K$12,"C","O")))</f>
        <v>O</v>
      </c>
      <c r="AX14" s="142" t="str">
        <f aca="false">IF(IF(GlobalGH,Climate!$G$53,Climate!$D$53)&lt;=0,"·",IF(IF(GlobalGH,Climate!$I$53,Climate!$F$53)&gt;Crops!$M$12,"H",IF(IF(GlobalGH,Climate!$H$53,Climate!$E$53)&lt;Crops!$K$12,"C","O")))</f>
        <v>O</v>
      </c>
      <c r="AY14" s="142" t="str">
        <f aca="false">IF(IF(GlobalGH,Climate!$G$54,Climate!$D$54)&lt;=0,"·",IF(IF(GlobalGH,Climate!$I$54,Climate!$F$54)&gt;Crops!$M$12,"H",IF(IF(GlobalGH,Climate!$H$54,Climate!$E$54)&lt;Crops!$K$12,"C","O")))</f>
        <v>O</v>
      </c>
      <c r="AZ14" s="142" t="str">
        <f aca="false">IF(IF(GlobalGH,Climate!$G$55,Climate!$D$55)&lt;=0,"·",IF(IF(GlobalGH,Climate!$I$55,Climate!$F$55)&gt;Crops!$M$12,"H",IF(IF(GlobalGH,Climate!$H$55,Climate!$E$55)&lt;Crops!$K$12,"C","O")))</f>
        <v>O</v>
      </c>
      <c r="BA14" s="142" t="str">
        <f aca="false">IF(IF(GlobalGH,Climate!$G$56,Climate!$D$56)&lt;=0,"·",IF(IF(GlobalGH,Climate!$I$56,Climate!$F$56)&gt;Crops!$M$12,"H",IF(IF(GlobalGH,Climate!$H$56,Climate!$E$56)&lt;Crops!$K$12,"C","O")))</f>
        <v>O</v>
      </c>
      <c r="BB14" s="142" t="str">
        <f aca="false">IF(IF(GlobalGH,Climate!$G$57,Climate!$D$57)&lt;=0,"·",IF(IF(GlobalGH,Climate!$I$57,Climate!$F$57)&gt;Crops!$M$12,"H",IF(IF(GlobalGH,Climate!$H$57,Climate!$E$57)&lt;Crops!$K$12,"C","O")))</f>
        <v>O</v>
      </c>
      <c r="BC14" s="142" t="str">
        <f aca="false">IF(IF(GlobalGH,Climate!$G$58,Climate!$D$58)&lt;=0,"·",IF(IF(GlobalGH,Climate!$I$58,Climate!$F$58)&gt;Crops!$M$12,"H",IF(IF(GlobalGH,Climate!$H$58,Climate!$E$58)&lt;Crops!$K$12,"C","O")))</f>
        <v>O</v>
      </c>
      <c r="BD14" s="142" t="str">
        <f aca="false">IF(IF(GlobalGH,Climate!$G$59,Climate!$D$59)&lt;=0,"·",IF(IF(GlobalGH,Climate!$I$59,Climate!$F$59)&gt;Crops!$M$12,"H",IF(IF(GlobalGH,Climate!$H$59,Climate!$E$59)&lt;Crops!$K$12,"C","O")))</f>
        <v>O</v>
      </c>
      <c r="BE14" s="142" t="str">
        <f aca="false">IF(IF(GlobalGH,Climate!$G$60,Climate!$D$60)&lt;=0,"·",IF(IF(GlobalGH,Climate!$I$60,Climate!$F$60)&gt;Crops!$M$12,"H",IF(IF(GlobalGH,Climate!$H$60,Climate!$E$60)&lt;Crops!$K$12,"C","O")))</f>
        <v>O</v>
      </c>
      <c r="BF14" s="142" t="str">
        <f aca="false">IF(IF(GlobalGH,Climate!$G$61,Climate!$D$61)&lt;=0,"·",IF(IF(GlobalGH,Climate!$I$61,Climate!$F$61)&gt;Crops!$M$12,"H",IF(IF(GlobalGH,Climate!$H$61,Climate!$E$61)&lt;Crops!$K$12,"C","O")))</f>
        <v>O</v>
      </c>
      <c r="BG14" s="142" t="str">
        <f aca="false">IF(IF(GlobalGH,Climate!$G$62,Climate!$D$62)&lt;=0,"·",IF(IF(GlobalGH,Climate!$I$62,Climate!$F$62)&gt;Crops!$M$12,"H",IF(IF(GlobalGH,Climate!$H$62,Climate!$E$62)&lt;Crops!$K$12,"C","O")))</f>
        <v>O</v>
      </c>
      <c r="BH14" s="142" t="str">
        <f aca="false">IF(IF(GlobalGH,Climate!$G$63,Climate!$D$63)&lt;=0,"·",IF(IF(GlobalGH,Climate!$I$63,Climate!$F$63)&gt;Crops!$M$12,"H",IF(IF(GlobalGH,Climate!$H$63,Climate!$E$63)&lt;Crops!$K$12,"C","O")))</f>
        <v>O</v>
      </c>
      <c r="BI14" s="142" t="str">
        <f aca="false">IF(IF(GlobalGH,Climate!$G$64,Climate!$D$64)&lt;=0,"·",IF(IF(GlobalGH,Climate!$I$64,Climate!$F$64)&gt;Crops!$M$12,"H",IF(IF(GlobalGH,Climate!$H$64,Climate!$E$64)&lt;Crops!$K$12,"C","O")))</f>
        <v>O</v>
      </c>
      <c r="BJ14" s="142" t="str">
        <f aca="false">IF(IF(GlobalGH,Climate!$G$65,Climate!$D$65)&lt;=0,"·",IF(IF(GlobalGH,Climate!$I$65,Climate!$F$65)&gt;Crops!$M$12,"H",IF(IF(GlobalGH,Climate!$H$65,Climate!$E$65)&lt;Crops!$K$12,"C","O")))</f>
        <v>O</v>
      </c>
      <c r="BK14" s="142" t="str">
        <f aca="false">IF(IF(GlobalGH,Climate!$G$66,Climate!$D$66)&lt;=0,"·",IF(IF(GlobalGH,Climate!$I$66,Climate!$F$66)&gt;Crops!$M$12,"H",IF(IF(GlobalGH,Climate!$H$66,Climate!$E$66)&lt;Crops!$K$12,"C","O")))</f>
        <v>O</v>
      </c>
      <c r="BL14" s="142" t="str">
        <f aca="false">IF(IF(GlobalGH,Climate!$G$67,Climate!$D$67)&lt;=0,"·",IF(IF(GlobalGH,Climate!$I$67,Climate!$F$67)&gt;Crops!$M$12,"H",IF(IF(GlobalGH,Climate!$H$67,Climate!$E$67)&lt;Crops!$K$12,"C","O")))</f>
        <v>O</v>
      </c>
      <c r="BM14" s="142" t="str">
        <f aca="false">IF(IF(GlobalGH,Climate!$G$68,Climate!$D$68)&lt;=0,"·",IF(IF(GlobalGH,Climate!$I$68,Climate!$F$68)&gt;Crops!$M$12,"H",IF(IF(GlobalGH,Climate!$H$68,Climate!$E$68)&lt;Crops!$K$12,"C","O")))</f>
        <v>O</v>
      </c>
      <c r="BN14" s="142" t="str">
        <f aca="false">IF(IF(GlobalGH,Climate!$G$69,Climate!$D$69)&lt;=0,"·",IF(IF(GlobalGH,Climate!$I$69,Climate!$F$69)&gt;Crops!$M$12,"H",IF(IF(GlobalGH,Climate!$H$69,Climate!$E$69)&lt;Crops!$K$12,"C","O")))</f>
        <v>O</v>
      </c>
      <c r="BO14" s="142" t="str">
        <f aca="false">IF(IF(GlobalGH,Climate!$G$70,Climate!$D$70)&lt;=0,"·",IF(IF(GlobalGH,Climate!$I$70,Climate!$F$70)&gt;Crops!$M$12,"H",IF(IF(GlobalGH,Climate!$H$70,Climate!$E$70)&lt;Crops!$K$12,"C","O")))</f>
        <v>O</v>
      </c>
      <c r="BP14" s="142" t="str">
        <f aca="false">IF(IF(GlobalGH,Climate!$G$71,Climate!$D$71)&lt;=0,"·",IF(IF(GlobalGH,Climate!$I$71,Climate!$F$71)&gt;Crops!$M$12,"H",IF(IF(GlobalGH,Climate!$H$71,Climate!$E$71)&lt;Crops!$K$12,"C","O")))</f>
        <v>O</v>
      </c>
      <c r="BQ14" s="142" t="str">
        <f aca="false">IF(IF(GlobalGH,Climate!$G$72,Climate!$D$72)&lt;=0,"·",IF(IF(GlobalGH,Climate!$I$72,Climate!$F$72)&gt;Crops!$M$12,"H",IF(IF(GlobalGH,Climate!$H$72,Climate!$E$72)&lt;Crops!$K$12,"C","O")))</f>
        <v>O</v>
      </c>
      <c r="BR14" s="142" t="str">
        <f aca="false">IF(IF(GlobalGH,Climate!$G$73,Climate!$D$73)&lt;=0,"·",IF(IF(GlobalGH,Climate!$I$73,Climate!$F$73)&gt;Crops!$M$12,"H",IF(IF(GlobalGH,Climate!$H$73,Climate!$E$73)&lt;Crops!$K$12,"C","O")))</f>
        <v>O</v>
      </c>
      <c r="BS14" s="142" t="str">
        <f aca="false">IF(IF(GlobalGH,Climate!$G$74,Climate!$D$74)&lt;=0,"·",IF(IF(GlobalGH,Climate!$I$74,Climate!$F$74)&gt;Crops!$M$12,"H",IF(IF(GlobalGH,Climate!$H$74,Climate!$E$74)&lt;Crops!$K$12,"C","O")))</f>
        <v>O</v>
      </c>
      <c r="BT14" s="142" t="str">
        <f aca="false">IF(IF(GlobalGH,Climate!$G$75,Climate!$D$75)&lt;=0,"·",IF(IF(GlobalGH,Climate!$I$75,Climate!$F$75)&gt;Crops!$M$12,"H",IF(IF(GlobalGH,Climate!$H$75,Climate!$E$75)&lt;Crops!$K$12,"C","O")))</f>
        <v>O</v>
      </c>
      <c r="BU14" s="142" t="str">
        <f aca="false">IF(IF(GlobalGH,Climate!$G$76,Climate!$D$76)&lt;=0,"·",IF(IF(GlobalGH,Climate!$I$76,Climate!$F$76)&gt;Crops!$M$12,"H",IF(IF(GlobalGH,Climate!$H$76,Climate!$E$76)&lt;Crops!$K$12,"C","O")))</f>
        <v>O</v>
      </c>
      <c r="BV14" s="142" t="str">
        <f aca="false">IF(IF(GlobalGH,Climate!$G$77,Climate!$D$77)&lt;=0,"·",IF(IF(GlobalGH,Climate!$I$77,Climate!$F$77)&gt;Crops!$M$12,"H",IF(IF(GlobalGH,Climate!$H$77,Climate!$E$77)&lt;Crops!$K$12,"C","O")))</f>
        <v>O</v>
      </c>
      <c r="BW14" s="142" t="str">
        <f aca="false">IF(IF(GlobalGH,Climate!$G$78,Climate!$D$78)&lt;=0,"·",IF(IF(GlobalGH,Climate!$I$78,Climate!$F$78)&gt;Crops!$M$12,"H",IF(IF(GlobalGH,Climate!$H$78,Climate!$E$78)&lt;Crops!$K$12,"C","O")))</f>
        <v>O</v>
      </c>
      <c r="BX14" s="142" t="str">
        <f aca="false">IF(IF(GlobalGH,Climate!$G$79,Climate!$D$79)&lt;=0,"·",IF(IF(GlobalGH,Climate!$I$79,Climate!$F$79)&gt;Crops!$M$12,"H",IF(IF(GlobalGH,Climate!$H$79,Climate!$E$79)&lt;Crops!$K$12,"C","O")))</f>
        <v>C</v>
      </c>
      <c r="BY14" s="142" t="str">
        <f aca="false">IF(IF(GlobalGH,Climate!$G$80,Climate!$D$80)&lt;=0,"·",IF(IF(GlobalGH,Climate!$I$80,Climate!$F$80)&gt;Crops!$M$12,"H",IF(IF(GlobalGH,Climate!$H$80,Climate!$E$80)&lt;Crops!$K$12,"C","O")))</f>
        <v>O</v>
      </c>
      <c r="BZ14" s="142" t="str">
        <f aca="false">IF(IF(GlobalGH,Climate!$G$81,Climate!$D$81)&lt;=0,"·",IF(IF(GlobalGH,Climate!$I$81,Climate!$F$81)&gt;Crops!$M$12,"H",IF(IF(GlobalGH,Climate!$H$81,Climate!$E$81)&lt;Crops!$K$12,"C","O")))</f>
        <v>C</v>
      </c>
      <c r="CA14" s="142" t="str">
        <f aca="false">IF(IF(GlobalGH,Climate!$G$82,Climate!$D$82)&lt;=0,"·",IF(IF(GlobalGH,Climate!$I$82,Climate!$F$82)&gt;Crops!$M$12,"H",IF(IF(GlobalGH,Climate!$H$82,Climate!$E$82)&lt;Crops!$K$12,"C","O")))</f>
        <v>C</v>
      </c>
      <c r="CB14" s="142" t="str">
        <f aca="false">IF(IF(GlobalGH,Climate!$G$83,Climate!$D$83)&lt;=0,"·",IF(IF(GlobalGH,Climate!$I$83,Climate!$F$83)&gt;Crops!$M$12,"H",IF(IF(GlobalGH,Climate!$H$83,Climate!$E$83)&lt;Crops!$K$12,"C","O")))</f>
        <v>C</v>
      </c>
      <c r="CC14" s="142" t="str">
        <f aca="false">IF(IF(GlobalGH,Climate!$G$84,Climate!$D$84)&lt;=0,"·",IF(IF(GlobalGH,Climate!$I$84,Climate!$F$84)&gt;Crops!$M$12,"H",IF(IF(GlobalGH,Climate!$H$84,Climate!$E$84)&lt;Crops!$K$12,"C","O")))</f>
        <v>C</v>
      </c>
      <c r="CD14" s="142" t="str">
        <f aca="false">IF(IF(GlobalGH,Climate!$G$85,Climate!$D$85)&lt;=0,"·",IF(IF(GlobalGH,Climate!$I$85,Climate!$F$85)&gt;Crops!$M$12,"H",IF(IF(GlobalGH,Climate!$H$85,Climate!$E$85)&lt;Crops!$K$12,"C","O")))</f>
        <v>C</v>
      </c>
      <c r="CE14" s="142" t="str">
        <f aca="false">IF(IF(GlobalGH,Climate!$G$86,Climate!$D$86)&lt;=0,"·",IF(IF(GlobalGH,Climate!$I$86,Climate!$F$86)&gt;Crops!$M$12,"H",IF(IF(GlobalGH,Climate!$H$86,Climate!$E$86)&lt;Crops!$K$12,"C","O")))</f>
        <v>C</v>
      </c>
      <c r="CF14" s="142" t="str">
        <f aca="false">IF(IF(GlobalGH,Climate!$G$87,Climate!$D$87)&lt;=0,"·",IF(IF(GlobalGH,Climate!$I$87,Climate!$F$87)&gt;Crops!$M$12,"H",IF(IF(GlobalGH,Climate!$H$87,Climate!$E$87)&lt;Crops!$K$12,"C","O")))</f>
        <v>C</v>
      </c>
      <c r="CG14" s="142" t="str">
        <f aca="false">IF(IF(GlobalGH,Climate!$G$88,Climate!$D$88)&lt;=0,"·",IF(IF(GlobalGH,Climate!$I$88,Climate!$F$88)&gt;Crops!$M$12,"H",IF(IF(GlobalGH,Climate!$H$88,Climate!$E$88)&lt;Crops!$K$12,"C","O")))</f>
        <v>·</v>
      </c>
      <c r="CH14" s="142" t="str">
        <f aca="false">IF(IF(GlobalGH,Climate!$G$89,Climate!$D$89)&lt;=0,"·",IF(IF(GlobalGH,Climate!$I$89,Climate!$F$89)&gt;Crops!$M$12,"H",IF(IF(GlobalGH,Climate!$H$89,Climate!$E$89)&lt;Crops!$K$12,"C","O")))</f>
        <v>·</v>
      </c>
      <c r="CI14" s="142" t="str">
        <f aca="false">IF(IF(GlobalGH,Climate!$G$90,Climate!$D$90)&lt;=0,"·",IF(IF(GlobalGH,Climate!$I$90,Climate!$F$90)&gt;Crops!$M$12,"H",IF(IF(GlobalGH,Climate!$H$90,Climate!$E$90)&lt;Crops!$K$12,"C","O")))</f>
        <v>·</v>
      </c>
      <c r="CJ14" s="142" t="str">
        <f aca="false">IF(IF(GlobalGH,Climate!$G$91,Climate!$D$91)&lt;=0,"·",IF(IF(GlobalGH,Climate!$I$91,Climate!$F$91)&gt;Crops!$M$12,"H",IF(IF(GlobalGH,Climate!$H$91,Climate!$E$91)&lt;Crops!$K$12,"C","O")))</f>
        <v>·</v>
      </c>
      <c r="CK14" s="142" t="str">
        <f aca="false">IF(IF(GlobalGH,Climate!$G$92,Climate!$D$92)&lt;=0,"·",IF(IF(GlobalGH,Climate!$I$92,Climate!$F$92)&gt;Crops!$M$12,"H",IF(IF(GlobalGH,Climate!$H$92,Climate!$E$92)&lt;Crops!$K$12,"C","O")))</f>
        <v>·</v>
      </c>
      <c r="CL14" s="142" t="str">
        <f aca="false">IF(IF(GlobalGH,Climate!$G$93,Climate!$D$93)&lt;=0,"·",IF(IF(GlobalGH,Climate!$I$93,Climate!$F$93)&gt;Crops!$M$12,"H",IF(IF(GlobalGH,Climate!$H$93,Climate!$E$93)&lt;Crops!$K$12,"C","O")))</f>
        <v>·</v>
      </c>
      <c r="CM14" s="142" t="str">
        <f aca="false">IF(IF(GlobalGH,Climate!$G$94,Climate!$D$94)&lt;=0,"·",IF(IF(GlobalGH,Climate!$I$94,Climate!$F$94)&gt;Crops!$M$12,"H",IF(IF(GlobalGH,Climate!$H$94,Climate!$E$94)&lt;Crops!$K$12,"C","O")))</f>
        <v>·</v>
      </c>
      <c r="CN14" s="142" t="str">
        <f aca="false">IF(IF(GlobalGH,Climate!$G$95,Climate!$D$95)&lt;=0,"·",IF(IF(GlobalGH,Climate!$I$95,Climate!$F$95)&gt;Crops!$M$12,"H",IF(IF(GlobalGH,Climate!$H$95,Climate!$E$95)&lt;Crops!$K$12,"C","O")))</f>
        <v>·</v>
      </c>
      <c r="CO14" s="142" t="str">
        <f aca="false">IF(IF(GlobalGH,Climate!$G$96,Climate!$D$96)&lt;=0,"·",IF(IF(GlobalGH,Climate!$I$96,Climate!$F$96)&gt;Crops!$M$12,"H",IF(IF(GlobalGH,Climate!$H$96,Climate!$E$96)&lt;Crops!$K$12,"C","O")))</f>
        <v>·</v>
      </c>
      <c r="CP14" s="142" t="str">
        <f aca="false">IF(IF(GlobalGH,Climate!$G$97,Climate!$D$97)&lt;=0,"·",IF(IF(GlobalGH,Climate!$I$97,Climate!$F$97)&gt;Crops!$M$12,"H",IF(IF(GlobalGH,Climate!$H$97,Climate!$E$97)&lt;Crops!$K$12,"C","O")))</f>
        <v>·</v>
      </c>
      <c r="CQ14" s="142" t="str">
        <f aca="false">IF(IF(GlobalGH,Climate!$G$98,Climate!$D$98)&lt;=0,"·",IF(IF(GlobalGH,Climate!$I$98,Climate!$F$98)&gt;Crops!$M$12,"H",IF(IF(GlobalGH,Climate!$H$98,Climate!$E$98)&lt;Crops!$K$12,"C","O")))</f>
        <v>·</v>
      </c>
      <c r="CR14" s="142" t="str">
        <f aca="false">IF(IF(GlobalGH,Climate!$G$99,Climate!$D$99)&lt;=0,"·",IF(IF(GlobalGH,Climate!$I$99,Climate!$F$99)&gt;Crops!$M$12,"H",IF(IF(GlobalGH,Climate!$H$99,Climate!$E$99)&lt;Crops!$K$12,"C","O")))</f>
        <v>·</v>
      </c>
      <c r="CS14" s="142" t="str">
        <f aca="false">IF(IF(GlobalGH,Climate!$G$100,Climate!$D$100)&lt;=0,"·",IF(IF(GlobalGH,Climate!$I$100,Climate!$F$100)&gt;Crops!$M$12,"H",IF(IF(GlobalGH,Climate!$H$100,Climate!$E$100)&lt;Crops!$K$12,"C","O")))</f>
        <v>·</v>
      </c>
      <c r="CT14" s="142" t="str">
        <f aca="false">IF(IF(GlobalGH,Climate!$G$101,Climate!$D$101)&lt;=0,"·",IF(IF(GlobalGH,Climate!$I$101,Climate!$F$101)&gt;Crops!$M$12,"H",IF(IF(GlobalGH,Climate!$H$101,Climate!$E$101)&lt;Crops!$K$12,"C","O")))</f>
        <v>·</v>
      </c>
      <c r="CU14" s="142" t="str">
        <f aca="false">IF(IF(GlobalGH,Climate!$G$102,Climate!$D$102)&lt;=0,"·",IF(IF(GlobalGH,Climate!$I$102,Climate!$F$102)&gt;Crops!$M$12,"H",IF(IF(GlobalGH,Climate!$H$102,Climate!$E$102)&lt;Crops!$K$12,"C","O")))</f>
        <v>·</v>
      </c>
      <c r="CV14" s="142" t="str">
        <f aca="false">IF(IF(GlobalGH,Climate!$G$103,Climate!$D$103)&lt;=0,"·",IF(IF(GlobalGH,Climate!$I$103,Climate!$F$103)&gt;Crops!$M$12,"H",IF(IF(GlobalGH,Climate!$H$103,Climate!$E$103)&lt;Crops!$K$12,"C","O")))</f>
        <v>·</v>
      </c>
      <c r="CW14" s="142" t="str">
        <f aca="false">IF(IF(GlobalGH,Climate!$G$104,Climate!$D$104)&lt;=0,"·",IF(IF(GlobalGH,Climate!$I$104,Climate!$F$104)&gt;Crops!$M$12,"H",IF(IF(GlobalGH,Climate!$H$104,Climate!$E$104)&lt;Crops!$K$12,"C","O")))</f>
        <v>·</v>
      </c>
      <c r="CX14" s="142" t="str">
        <f aca="false">IF(IF(GlobalGH,Climate!$G$105,Climate!$D$105)&lt;=0,"·",IF(IF(GlobalGH,Climate!$I$105,Climate!$F$105)&gt;Crops!$M$12,"H",IF(IF(GlobalGH,Climate!$H$105,Climate!$E$105)&lt;Crops!$K$12,"C","O")))</f>
        <v>·</v>
      </c>
      <c r="CY14" s="142" t="str">
        <f aca="false">IF(IF(GlobalGH,Climate!$G$106,Climate!$D$106)&lt;=0,"·",IF(IF(GlobalGH,Climate!$I$106,Climate!$F$106)&gt;Crops!$M$12,"H",IF(IF(GlobalGH,Climate!$H$106,Climate!$E$106)&lt;Crops!$K$12,"C","O")))</f>
        <v>·</v>
      </c>
      <c r="CZ14" s="142" t="str">
        <f aca="false">IF(IF(GlobalGH,Climate!$G$107,Climate!$D$107)&lt;=0,"·",IF(IF(GlobalGH,Climate!$I$107,Climate!$F$107)&gt;Crops!$M$12,"H",IF(IF(GlobalGH,Climate!$H$107,Climate!$E$107)&lt;Crops!$K$12,"C","O")))</f>
        <v>·</v>
      </c>
      <c r="DA14" s="142" t="str">
        <f aca="false">IF(IF(GlobalGH,Climate!$G$108,Climate!$D$108)&lt;=0,"·",IF(IF(GlobalGH,Climate!$I$108,Climate!$F$108)&gt;Crops!$M$12,"H",IF(IF(GlobalGH,Climate!$H$108,Climate!$E$108)&lt;Crops!$K$12,"C","O")))</f>
        <v>·</v>
      </c>
      <c r="DB14" s="142" t="str">
        <f aca="false">IF(IF(GlobalGH,Climate!$G$109,Climate!$D$109)&lt;=0,"·",IF(IF(GlobalGH,Climate!$I$109,Climate!$F$109)&gt;Crops!$M$12,"H",IF(IF(GlobalGH,Climate!$H$109,Climate!$E$109)&lt;Crops!$K$12,"C","O")))</f>
        <v>·</v>
      </c>
      <c r="DC14" s="142" t="str">
        <f aca="false">IF(IF(GlobalGH,Climate!$G$110,Climate!$D$110)&lt;=0,"·",IF(IF(GlobalGH,Climate!$I$110,Climate!$F$110)&gt;Crops!$M$12,"H",IF(IF(GlobalGH,Climate!$H$110,Climate!$E$110)&lt;Crops!$K$12,"C","O")))</f>
        <v>·</v>
      </c>
      <c r="DD14" s="142" t="str">
        <f aca="false">IF(IF(GlobalGH,Climate!$G$111,Climate!$D$111)&lt;=0,"·",IF(IF(GlobalGH,Climate!$I$111,Climate!$F$111)&gt;Crops!$M$12,"H",IF(IF(GlobalGH,Climate!$H$111,Climate!$E$111)&lt;Crops!$K$12,"C","O")))</f>
        <v>·</v>
      </c>
      <c r="DE14" s="142" t="str">
        <f aca="false">IF(IF(GlobalGH,Climate!$G$112,Climate!$D$112)&lt;=0,"·",IF(IF(GlobalGH,Climate!$I$112,Climate!$F$112)&gt;Crops!$M$12,"H",IF(IF(GlobalGH,Climate!$H$112,Climate!$E$112)&lt;Crops!$K$12,"C","O")))</f>
        <v>·</v>
      </c>
      <c r="DF14" s="143" t="n">
        <f aca="false">COUNTIF(B14:DE14,"O")</f>
        <v>33</v>
      </c>
      <c r="DG14" s="139" t="s">
        <v>421</v>
      </c>
    </row>
    <row r="15" customFormat="false" ht="15" hidden="false" customHeight="true" outlineLevel="0" collapsed="false">
      <c r="A15" s="141" t="str">
        <f aca="false">Crops!$B$13</f>
        <v>Spelt</v>
      </c>
      <c r="B15" s="142" t="str">
        <f aca="false">IF(IF(GlobalGH,Climate!$G$5,Climate!$D$5)&lt;=0,"·",IF(IF(GlobalGH,Climate!$I$5,Climate!$F$5)&gt;Crops!$M$13,"H",IF(IF(GlobalGH,Climate!$H$5,Climate!$E$5)&lt;Crops!$K$13,"C","O")))</f>
        <v>·</v>
      </c>
      <c r="C15" s="142" t="str">
        <f aca="false">IF(IF(GlobalGH,Climate!$G$6,Climate!$D$6)&lt;=0,"·",IF(IF(GlobalGH,Climate!$I$6,Climate!$F$6)&gt;Crops!$M$13,"H",IF(IF(GlobalGH,Climate!$H$6,Climate!$E$6)&lt;Crops!$K$13,"C","O")))</f>
        <v>·</v>
      </c>
      <c r="D15" s="142" t="str">
        <f aca="false">IF(IF(GlobalGH,Climate!$G$7,Climate!$D$7)&lt;=0,"·",IF(IF(GlobalGH,Climate!$I$7,Climate!$F$7)&gt;Crops!$M$13,"H",IF(IF(GlobalGH,Climate!$H$7,Climate!$E$7)&lt;Crops!$K$13,"C","O")))</f>
        <v>·</v>
      </c>
      <c r="E15" s="142" t="str">
        <f aca="false">IF(IF(GlobalGH,Climate!$G$8,Climate!$D$8)&lt;=0,"·",IF(IF(GlobalGH,Climate!$I$8,Climate!$F$8)&gt;Crops!$M$13,"H",IF(IF(GlobalGH,Climate!$H$8,Climate!$E$8)&lt;Crops!$K$13,"C","O")))</f>
        <v>·</v>
      </c>
      <c r="F15" s="142" t="str">
        <f aca="false">IF(IF(GlobalGH,Climate!$G$9,Climate!$D$9)&lt;=0,"·",IF(IF(GlobalGH,Climate!$I$9,Climate!$F$9)&gt;Crops!$M$13,"H",IF(IF(GlobalGH,Climate!$H$9,Climate!$E$9)&lt;Crops!$K$13,"C","O")))</f>
        <v>·</v>
      </c>
      <c r="G15" s="142" t="str">
        <f aca="false">IF(IF(GlobalGH,Climate!$G$10,Climate!$D$10)&lt;=0,"·",IF(IF(GlobalGH,Climate!$I$10,Climate!$F$10)&gt;Crops!$M$13,"H",IF(IF(GlobalGH,Climate!$H$10,Climate!$E$10)&lt;Crops!$K$13,"C","O")))</f>
        <v>·</v>
      </c>
      <c r="H15" s="142" t="str">
        <f aca="false">IF(IF(GlobalGH,Climate!$G$11,Climate!$D$11)&lt;=0,"·",IF(IF(GlobalGH,Climate!$I$11,Climate!$F$11)&gt;Crops!$M$13,"H",IF(IF(GlobalGH,Climate!$H$11,Climate!$E$11)&lt;Crops!$K$13,"C","O")))</f>
        <v>·</v>
      </c>
      <c r="I15" s="142" t="str">
        <f aca="false">IF(IF(GlobalGH,Climate!$G$12,Climate!$D$12)&lt;=0,"·",IF(IF(GlobalGH,Climate!$I$12,Climate!$F$12)&gt;Crops!$M$13,"H",IF(IF(GlobalGH,Climate!$H$12,Climate!$E$12)&lt;Crops!$K$13,"C","O")))</f>
        <v>·</v>
      </c>
      <c r="J15" s="142" t="str">
        <f aca="false">IF(IF(GlobalGH,Climate!$G$13,Climate!$D$13)&lt;=0,"·",IF(IF(GlobalGH,Climate!$I$13,Climate!$F$13)&gt;Crops!$M$13,"H",IF(IF(GlobalGH,Climate!$H$13,Climate!$E$13)&lt;Crops!$K$13,"C","O")))</f>
        <v>·</v>
      </c>
      <c r="K15" s="142" t="str">
        <f aca="false">IF(IF(GlobalGH,Climate!$G$14,Climate!$D$14)&lt;=0,"·",IF(IF(GlobalGH,Climate!$I$14,Climate!$F$14)&gt;Crops!$M$13,"H",IF(IF(GlobalGH,Climate!$H$14,Climate!$E$14)&lt;Crops!$K$13,"C","O")))</f>
        <v>·</v>
      </c>
      <c r="L15" s="142" t="str">
        <f aca="false">IF(IF(GlobalGH,Climate!$G$15,Climate!$D$15)&lt;=0,"·",IF(IF(GlobalGH,Climate!$I$15,Climate!$F$15)&gt;Crops!$M$13,"H",IF(IF(GlobalGH,Climate!$H$15,Climate!$E$15)&lt;Crops!$K$13,"C","O")))</f>
        <v>·</v>
      </c>
      <c r="M15" s="142" t="str">
        <f aca="false">IF(IF(GlobalGH,Climate!$G$16,Climate!$D$16)&lt;=0,"·",IF(IF(GlobalGH,Climate!$I$16,Climate!$F$16)&gt;Crops!$M$13,"H",IF(IF(GlobalGH,Climate!$H$16,Climate!$E$16)&lt;Crops!$K$13,"C","O")))</f>
        <v>·</v>
      </c>
      <c r="N15" s="142" t="str">
        <f aca="false">IF(IF(GlobalGH,Climate!$G$17,Climate!$D$17)&lt;=0,"·",IF(IF(GlobalGH,Climate!$I$17,Climate!$F$17)&gt;Crops!$M$13,"H",IF(IF(GlobalGH,Climate!$H$17,Climate!$E$17)&lt;Crops!$K$13,"C","O")))</f>
        <v>·</v>
      </c>
      <c r="O15" s="142" t="str">
        <f aca="false">IF(IF(GlobalGH,Climate!$G$18,Climate!$D$18)&lt;=0,"·",IF(IF(GlobalGH,Climate!$I$18,Climate!$F$18)&gt;Crops!$M$13,"H",IF(IF(GlobalGH,Climate!$H$18,Climate!$E$18)&lt;Crops!$K$13,"C","O")))</f>
        <v>·</v>
      </c>
      <c r="P15" s="142" t="str">
        <f aca="false">IF(IF(GlobalGH,Climate!$G$19,Climate!$D$19)&lt;=0,"·",IF(IF(GlobalGH,Climate!$I$19,Climate!$F$19)&gt;Crops!$M$13,"H",IF(IF(GlobalGH,Climate!$H$19,Climate!$E$19)&lt;Crops!$K$13,"C","O")))</f>
        <v>·</v>
      </c>
      <c r="Q15" s="142" t="str">
        <f aca="false">IF(IF(GlobalGH,Climate!$G$20,Climate!$D$20)&lt;=0,"·",IF(IF(GlobalGH,Climate!$I$20,Climate!$F$20)&gt;Crops!$M$13,"H",IF(IF(GlobalGH,Climate!$H$20,Climate!$E$20)&lt;Crops!$K$13,"C","O")))</f>
        <v>·</v>
      </c>
      <c r="R15" s="142" t="str">
        <f aca="false">IF(IF(GlobalGH,Climate!$G$21,Climate!$D$21)&lt;=0,"·",IF(IF(GlobalGH,Climate!$I$21,Climate!$F$21)&gt;Crops!$M$13,"H",IF(IF(GlobalGH,Climate!$H$21,Climate!$E$21)&lt;Crops!$K$13,"C","O")))</f>
        <v>·</v>
      </c>
      <c r="S15" s="142" t="str">
        <f aca="false">IF(IF(GlobalGH,Climate!$G$22,Climate!$D$22)&lt;=0,"·",IF(IF(GlobalGH,Climate!$I$22,Climate!$F$22)&gt;Crops!$M$13,"H",IF(IF(GlobalGH,Climate!$H$22,Climate!$E$22)&lt;Crops!$K$13,"C","O")))</f>
        <v>·</v>
      </c>
      <c r="T15" s="142" t="str">
        <f aca="false">IF(IF(GlobalGH,Climate!$G$23,Climate!$D$23)&lt;=0,"·",IF(IF(GlobalGH,Climate!$I$23,Climate!$F$23)&gt;Crops!$M$13,"H",IF(IF(GlobalGH,Climate!$H$23,Climate!$E$23)&lt;Crops!$K$13,"C","O")))</f>
        <v>·</v>
      </c>
      <c r="U15" s="142" t="str">
        <f aca="false">IF(IF(GlobalGH,Climate!$G$24,Climate!$D$24)&lt;=0,"·",IF(IF(GlobalGH,Climate!$I$24,Climate!$F$24)&gt;Crops!$M$13,"H",IF(IF(GlobalGH,Climate!$H$24,Climate!$E$24)&lt;Crops!$K$13,"C","O")))</f>
        <v>·</v>
      </c>
      <c r="V15" s="142" t="str">
        <f aca="false">IF(IF(GlobalGH,Climate!$G$25,Climate!$D$25)&lt;=0,"·",IF(IF(GlobalGH,Climate!$I$25,Climate!$F$25)&gt;Crops!$M$13,"H",IF(IF(GlobalGH,Climate!$H$25,Climate!$E$25)&lt;Crops!$K$13,"C","O")))</f>
        <v>·</v>
      </c>
      <c r="W15" s="142" t="str">
        <f aca="false">IF(IF(GlobalGH,Climate!$G$26,Climate!$D$26)&lt;=0,"·",IF(IF(GlobalGH,Climate!$I$26,Climate!$F$26)&gt;Crops!$M$13,"H",IF(IF(GlobalGH,Climate!$H$26,Climate!$E$26)&lt;Crops!$K$13,"C","O")))</f>
        <v>·</v>
      </c>
      <c r="X15" s="142" t="str">
        <f aca="false">IF(IF(GlobalGH,Climate!$G$27,Climate!$D$27)&lt;=0,"·",IF(IF(GlobalGH,Climate!$I$27,Climate!$F$27)&gt;Crops!$M$13,"H",IF(IF(GlobalGH,Climate!$H$27,Climate!$E$27)&lt;Crops!$K$13,"C","O")))</f>
        <v>·</v>
      </c>
      <c r="Y15" s="142" t="str">
        <f aca="false">IF(IF(GlobalGH,Climate!$G$28,Climate!$D$28)&lt;=0,"·",IF(IF(GlobalGH,Climate!$I$28,Climate!$F$28)&gt;Crops!$M$13,"H",IF(IF(GlobalGH,Climate!$H$28,Climate!$E$28)&lt;Crops!$K$13,"C","O")))</f>
        <v>·</v>
      </c>
      <c r="Z15" s="142" t="str">
        <f aca="false">IF(IF(GlobalGH,Climate!$G$29,Climate!$D$29)&lt;=0,"·",IF(IF(GlobalGH,Climate!$I$29,Climate!$F$29)&gt;Crops!$M$13,"H",IF(IF(GlobalGH,Climate!$H$29,Climate!$E$29)&lt;Crops!$K$13,"C","O")))</f>
        <v>·</v>
      </c>
      <c r="AA15" s="142" t="str">
        <f aca="false">IF(IF(GlobalGH,Climate!$G$30,Climate!$D$30)&lt;=0,"·",IF(IF(GlobalGH,Climate!$I$30,Climate!$F$30)&gt;Crops!$M$13,"H",IF(IF(GlobalGH,Climate!$H$30,Climate!$E$30)&lt;Crops!$K$13,"C","O")))</f>
        <v>·</v>
      </c>
      <c r="AB15" s="142" t="str">
        <f aca="false">IF(IF(GlobalGH,Climate!$G$31,Climate!$D$31)&lt;=0,"·",IF(IF(GlobalGH,Climate!$I$31,Climate!$F$31)&gt;Crops!$M$13,"H",IF(IF(GlobalGH,Climate!$H$31,Climate!$E$31)&lt;Crops!$K$13,"C","O")))</f>
        <v>·</v>
      </c>
      <c r="AC15" s="142" t="str">
        <f aca="false">IF(IF(GlobalGH,Climate!$G$32,Climate!$D$32)&lt;=0,"·",IF(IF(GlobalGH,Climate!$I$32,Climate!$F$32)&gt;Crops!$M$13,"H",IF(IF(GlobalGH,Climate!$H$32,Climate!$E$32)&lt;Crops!$K$13,"C","O")))</f>
        <v>·</v>
      </c>
      <c r="AD15" s="142" t="str">
        <f aca="false">IF(IF(GlobalGH,Climate!$G$33,Climate!$D$33)&lt;=0,"·",IF(IF(GlobalGH,Climate!$I$33,Climate!$F$33)&gt;Crops!$M$13,"H",IF(IF(GlobalGH,Climate!$H$33,Climate!$E$33)&lt;Crops!$K$13,"C","O")))</f>
        <v>·</v>
      </c>
      <c r="AE15" s="142" t="str">
        <f aca="false">IF(IF(GlobalGH,Climate!$G$34,Climate!$D$34)&lt;=0,"·",IF(IF(GlobalGH,Climate!$I$34,Climate!$F$34)&gt;Crops!$M$13,"H",IF(IF(GlobalGH,Climate!$H$34,Climate!$E$34)&lt;Crops!$K$13,"C","O")))</f>
        <v>·</v>
      </c>
      <c r="AF15" s="142" t="str">
        <f aca="false">IF(IF(GlobalGH,Climate!$G$35,Climate!$D$35)&lt;=0,"·",IF(IF(GlobalGH,Climate!$I$35,Climate!$F$35)&gt;Crops!$M$13,"H",IF(IF(GlobalGH,Climate!$H$35,Climate!$E$35)&lt;Crops!$K$13,"C","O")))</f>
        <v>·</v>
      </c>
      <c r="AG15" s="142" t="str">
        <f aca="false">IF(IF(GlobalGH,Climate!$G$36,Climate!$D$36)&lt;=0,"·",IF(IF(GlobalGH,Climate!$I$36,Climate!$F$36)&gt;Crops!$M$13,"H",IF(IF(GlobalGH,Climate!$H$36,Climate!$E$36)&lt;Crops!$K$13,"C","O")))</f>
        <v>·</v>
      </c>
      <c r="AH15" s="142" t="str">
        <f aca="false">IF(IF(GlobalGH,Climate!$G$37,Climate!$D$37)&lt;=0,"·",IF(IF(GlobalGH,Climate!$I$37,Climate!$F$37)&gt;Crops!$M$13,"H",IF(IF(GlobalGH,Climate!$H$37,Climate!$E$37)&lt;Crops!$K$13,"C","O")))</f>
        <v>·</v>
      </c>
      <c r="AI15" s="142" t="str">
        <f aca="false">IF(IF(GlobalGH,Climate!$G$38,Climate!$D$38)&lt;=0,"·",IF(IF(GlobalGH,Climate!$I$38,Climate!$F$38)&gt;Crops!$M$13,"H",IF(IF(GlobalGH,Climate!$H$38,Climate!$E$38)&lt;Crops!$K$13,"C","O")))</f>
        <v>C</v>
      </c>
      <c r="AJ15" s="142" t="str">
        <f aca="false">IF(IF(GlobalGH,Climate!$G$39,Climate!$D$39)&lt;=0,"·",IF(IF(GlobalGH,Climate!$I$39,Climate!$F$39)&gt;Crops!$M$13,"H",IF(IF(GlobalGH,Climate!$H$39,Climate!$E$39)&lt;Crops!$K$13,"C","O")))</f>
        <v>C</v>
      </c>
      <c r="AK15" s="142" t="str">
        <f aca="false">IF(IF(GlobalGH,Climate!$G$40,Climate!$D$40)&lt;=0,"·",IF(IF(GlobalGH,Climate!$I$40,Climate!$F$40)&gt;Crops!$M$13,"H",IF(IF(GlobalGH,Climate!$H$40,Climate!$E$40)&lt;Crops!$K$13,"C","O")))</f>
        <v>C</v>
      </c>
      <c r="AL15" s="142" t="str">
        <f aca="false">IF(IF(GlobalGH,Climate!$G$41,Climate!$D$41)&lt;=0,"·",IF(IF(GlobalGH,Climate!$I$41,Climate!$F$41)&gt;Crops!$M$13,"H",IF(IF(GlobalGH,Climate!$H$41,Climate!$E$41)&lt;Crops!$K$13,"C","O")))</f>
        <v>C</v>
      </c>
      <c r="AM15" s="142" t="str">
        <f aca="false">IF(IF(GlobalGH,Climate!$G$42,Climate!$D$42)&lt;=0,"·",IF(IF(GlobalGH,Climate!$I$42,Climate!$F$42)&gt;Crops!$M$13,"H",IF(IF(GlobalGH,Climate!$H$42,Climate!$E$42)&lt;Crops!$K$13,"C","O")))</f>
        <v>C</v>
      </c>
      <c r="AN15" s="142" t="str">
        <f aca="false">IF(IF(GlobalGH,Climate!$G$43,Climate!$D$43)&lt;=0,"·",IF(IF(GlobalGH,Climate!$I$43,Climate!$F$43)&gt;Crops!$M$13,"H",IF(IF(GlobalGH,Climate!$H$43,Climate!$E$43)&lt;Crops!$K$13,"C","O")))</f>
        <v>C</v>
      </c>
      <c r="AO15" s="142" t="str">
        <f aca="false">IF(IF(GlobalGH,Climate!$G$44,Climate!$D$44)&lt;=0,"·",IF(IF(GlobalGH,Climate!$I$44,Climate!$F$44)&gt;Crops!$M$13,"H",IF(IF(GlobalGH,Climate!$H$44,Climate!$E$44)&lt;Crops!$K$13,"C","O")))</f>
        <v>C</v>
      </c>
      <c r="AP15" s="142" t="str">
        <f aca="false">IF(IF(GlobalGH,Climate!$G$45,Climate!$D$45)&lt;=0,"·",IF(IF(GlobalGH,Climate!$I$45,Climate!$F$45)&gt;Crops!$M$13,"H",IF(IF(GlobalGH,Climate!$H$45,Climate!$E$45)&lt;Crops!$K$13,"C","O")))</f>
        <v>C</v>
      </c>
      <c r="AQ15" s="142" t="str">
        <f aca="false">IF(IF(GlobalGH,Climate!$G$46,Climate!$D$46)&lt;=0,"·",IF(IF(GlobalGH,Climate!$I$46,Climate!$F$46)&gt;Crops!$M$13,"H",IF(IF(GlobalGH,Climate!$H$46,Climate!$E$46)&lt;Crops!$K$13,"C","O")))</f>
        <v>C</v>
      </c>
      <c r="AR15" s="142" t="str">
        <f aca="false">IF(IF(GlobalGH,Climate!$G$47,Climate!$D$47)&lt;=0,"·",IF(IF(GlobalGH,Climate!$I$47,Climate!$F$47)&gt;Crops!$M$13,"H",IF(IF(GlobalGH,Climate!$H$47,Climate!$E$47)&lt;Crops!$K$13,"C","O")))</f>
        <v>O</v>
      </c>
      <c r="AS15" s="142" t="str">
        <f aca="false">IF(IF(GlobalGH,Climate!$G$48,Climate!$D$48)&lt;=0,"·",IF(IF(GlobalGH,Climate!$I$48,Climate!$F$48)&gt;Crops!$M$13,"H",IF(IF(GlobalGH,Climate!$H$48,Climate!$E$48)&lt;Crops!$K$13,"C","O")))</f>
        <v>O</v>
      </c>
      <c r="AT15" s="142" t="str">
        <f aca="false">IF(IF(GlobalGH,Climate!$G$49,Climate!$D$49)&lt;=0,"·",IF(IF(GlobalGH,Climate!$I$49,Climate!$F$49)&gt;Crops!$M$13,"H",IF(IF(GlobalGH,Climate!$H$49,Climate!$E$49)&lt;Crops!$K$13,"C","O")))</f>
        <v>O</v>
      </c>
      <c r="AU15" s="142" t="str">
        <f aca="false">IF(IF(GlobalGH,Climate!$G$50,Climate!$D$50)&lt;=0,"·",IF(IF(GlobalGH,Climate!$I$50,Climate!$F$50)&gt;Crops!$M$13,"H",IF(IF(GlobalGH,Climate!$H$50,Climate!$E$50)&lt;Crops!$K$13,"C","O")))</f>
        <v>O</v>
      </c>
      <c r="AV15" s="142" t="str">
        <f aca="false">IF(IF(GlobalGH,Climate!$G$51,Climate!$D$51)&lt;=0,"·",IF(IF(GlobalGH,Climate!$I$51,Climate!$F$51)&gt;Crops!$M$13,"H",IF(IF(GlobalGH,Climate!$H$51,Climate!$E$51)&lt;Crops!$K$13,"C","O")))</f>
        <v>O</v>
      </c>
      <c r="AW15" s="142" t="str">
        <f aca="false">IF(IF(GlobalGH,Climate!$G$52,Climate!$D$52)&lt;=0,"·",IF(IF(GlobalGH,Climate!$I$52,Climate!$F$52)&gt;Crops!$M$13,"H",IF(IF(GlobalGH,Climate!$H$52,Climate!$E$52)&lt;Crops!$K$13,"C","O")))</f>
        <v>O</v>
      </c>
      <c r="AX15" s="142" t="str">
        <f aca="false">IF(IF(GlobalGH,Climate!$G$53,Climate!$D$53)&lt;=0,"·",IF(IF(GlobalGH,Climate!$I$53,Climate!$F$53)&gt;Crops!$M$13,"H",IF(IF(GlobalGH,Climate!$H$53,Climate!$E$53)&lt;Crops!$K$13,"C","O")))</f>
        <v>O</v>
      </c>
      <c r="AY15" s="142" t="str">
        <f aca="false">IF(IF(GlobalGH,Climate!$G$54,Climate!$D$54)&lt;=0,"·",IF(IF(GlobalGH,Climate!$I$54,Climate!$F$54)&gt;Crops!$M$13,"H",IF(IF(GlobalGH,Climate!$H$54,Climate!$E$54)&lt;Crops!$K$13,"C","O")))</f>
        <v>O</v>
      </c>
      <c r="AZ15" s="142" t="str">
        <f aca="false">IF(IF(GlobalGH,Climate!$G$55,Climate!$D$55)&lt;=0,"·",IF(IF(GlobalGH,Climate!$I$55,Climate!$F$55)&gt;Crops!$M$13,"H",IF(IF(GlobalGH,Climate!$H$55,Climate!$E$55)&lt;Crops!$K$13,"C","O")))</f>
        <v>O</v>
      </c>
      <c r="BA15" s="142" t="str">
        <f aca="false">IF(IF(GlobalGH,Climate!$G$56,Climate!$D$56)&lt;=0,"·",IF(IF(GlobalGH,Climate!$I$56,Climate!$F$56)&gt;Crops!$M$13,"H",IF(IF(GlobalGH,Climate!$H$56,Climate!$E$56)&lt;Crops!$K$13,"C","O")))</f>
        <v>O</v>
      </c>
      <c r="BB15" s="142" t="str">
        <f aca="false">IF(IF(GlobalGH,Climate!$G$57,Climate!$D$57)&lt;=0,"·",IF(IF(GlobalGH,Climate!$I$57,Climate!$F$57)&gt;Crops!$M$13,"H",IF(IF(GlobalGH,Climate!$H$57,Climate!$E$57)&lt;Crops!$K$13,"C","O")))</f>
        <v>O</v>
      </c>
      <c r="BC15" s="142" t="str">
        <f aca="false">IF(IF(GlobalGH,Climate!$G$58,Climate!$D$58)&lt;=0,"·",IF(IF(GlobalGH,Climate!$I$58,Climate!$F$58)&gt;Crops!$M$13,"H",IF(IF(GlobalGH,Climate!$H$58,Climate!$E$58)&lt;Crops!$K$13,"C","O")))</f>
        <v>O</v>
      </c>
      <c r="BD15" s="142" t="str">
        <f aca="false">IF(IF(GlobalGH,Climate!$G$59,Climate!$D$59)&lt;=0,"·",IF(IF(GlobalGH,Climate!$I$59,Climate!$F$59)&gt;Crops!$M$13,"H",IF(IF(GlobalGH,Climate!$H$59,Climate!$E$59)&lt;Crops!$K$13,"C","O")))</f>
        <v>O</v>
      </c>
      <c r="BE15" s="142" t="str">
        <f aca="false">IF(IF(GlobalGH,Climate!$G$60,Climate!$D$60)&lt;=0,"·",IF(IF(GlobalGH,Climate!$I$60,Climate!$F$60)&gt;Crops!$M$13,"H",IF(IF(GlobalGH,Climate!$H$60,Climate!$E$60)&lt;Crops!$K$13,"C","O")))</f>
        <v>O</v>
      </c>
      <c r="BF15" s="142" t="str">
        <f aca="false">IF(IF(GlobalGH,Climate!$G$61,Climate!$D$61)&lt;=0,"·",IF(IF(GlobalGH,Climate!$I$61,Climate!$F$61)&gt;Crops!$M$13,"H",IF(IF(GlobalGH,Climate!$H$61,Climate!$E$61)&lt;Crops!$K$13,"C","O")))</f>
        <v>O</v>
      </c>
      <c r="BG15" s="142" t="str">
        <f aca="false">IF(IF(GlobalGH,Climate!$G$62,Climate!$D$62)&lt;=0,"·",IF(IF(GlobalGH,Climate!$I$62,Climate!$F$62)&gt;Crops!$M$13,"H",IF(IF(GlobalGH,Climate!$H$62,Climate!$E$62)&lt;Crops!$K$13,"C","O")))</f>
        <v>O</v>
      </c>
      <c r="BH15" s="142" t="str">
        <f aca="false">IF(IF(GlobalGH,Climate!$G$63,Climate!$D$63)&lt;=0,"·",IF(IF(GlobalGH,Climate!$I$63,Climate!$F$63)&gt;Crops!$M$13,"H",IF(IF(GlobalGH,Climate!$H$63,Climate!$E$63)&lt;Crops!$K$13,"C","O")))</f>
        <v>O</v>
      </c>
      <c r="BI15" s="142" t="str">
        <f aca="false">IF(IF(GlobalGH,Climate!$G$64,Climate!$D$64)&lt;=0,"·",IF(IF(GlobalGH,Climate!$I$64,Climate!$F$64)&gt;Crops!$M$13,"H",IF(IF(GlobalGH,Climate!$H$64,Climate!$E$64)&lt;Crops!$K$13,"C","O")))</f>
        <v>O</v>
      </c>
      <c r="BJ15" s="142" t="str">
        <f aca="false">IF(IF(GlobalGH,Climate!$G$65,Climate!$D$65)&lt;=0,"·",IF(IF(GlobalGH,Climate!$I$65,Climate!$F$65)&gt;Crops!$M$13,"H",IF(IF(GlobalGH,Climate!$H$65,Climate!$E$65)&lt;Crops!$K$13,"C","O")))</f>
        <v>O</v>
      </c>
      <c r="BK15" s="142" t="str">
        <f aca="false">IF(IF(GlobalGH,Climate!$G$66,Climate!$D$66)&lt;=0,"·",IF(IF(GlobalGH,Climate!$I$66,Climate!$F$66)&gt;Crops!$M$13,"H",IF(IF(GlobalGH,Climate!$H$66,Climate!$E$66)&lt;Crops!$K$13,"C","O")))</f>
        <v>O</v>
      </c>
      <c r="BL15" s="142" t="str">
        <f aca="false">IF(IF(GlobalGH,Climate!$G$67,Climate!$D$67)&lt;=0,"·",IF(IF(GlobalGH,Climate!$I$67,Climate!$F$67)&gt;Crops!$M$13,"H",IF(IF(GlobalGH,Climate!$H$67,Climate!$E$67)&lt;Crops!$K$13,"C","O")))</f>
        <v>O</v>
      </c>
      <c r="BM15" s="142" t="str">
        <f aca="false">IF(IF(GlobalGH,Climate!$G$68,Climate!$D$68)&lt;=0,"·",IF(IF(GlobalGH,Climate!$I$68,Climate!$F$68)&gt;Crops!$M$13,"H",IF(IF(GlobalGH,Climate!$H$68,Climate!$E$68)&lt;Crops!$K$13,"C","O")))</f>
        <v>O</v>
      </c>
      <c r="BN15" s="142" t="str">
        <f aca="false">IF(IF(GlobalGH,Climate!$G$69,Climate!$D$69)&lt;=0,"·",IF(IF(GlobalGH,Climate!$I$69,Climate!$F$69)&gt;Crops!$M$13,"H",IF(IF(GlobalGH,Climate!$H$69,Climate!$E$69)&lt;Crops!$K$13,"C","O")))</f>
        <v>O</v>
      </c>
      <c r="BO15" s="142" t="str">
        <f aca="false">IF(IF(GlobalGH,Climate!$G$70,Climate!$D$70)&lt;=0,"·",IF(IF(GlobalGH,Climate!$I$70,Climate!$F$70)&gt;Crops!$M$13,"H",IF(IF(GlobalGH,Climate!$H$70,Climate!$E$70)&lt;Crops!$K$13,"C","O")))</f>
        <v>O</v>
      </c>
      <c r="BP15" s="142" t="str">
        <f aca="false">IF(IF(GlobalGH,Climate!$G$71,Climate!$D$71)&lt;=0,"·",IF(IF(GlobalGH,Climate!$I$71,Climate!$F$71)&gt;Crops!$M$13,"H",IF(IF(GlobalGH,Climate!$H$71,Climate!$E$71)&lt;Crops!$K$13,"C","O")))</f>
        <v>O</v>
      </c>
      <c r="BQ15" s="142" t="str">
        <f aca="false">IF(IF(GlobalGH,Climate!$G$72,Climate!$D$72)&lt;=0,"·",IF(IF(GlobalGH,Climate!$I$72,Climate!$F$72)&gt;Crops!$M$13,"H",IF(IF(GlobalGH,Climate!$H$72,Climate!$E$72)&lt;Crops!$K$13,"C","O")))</f>
        <v>O</v>
      </c>
      <c r="BR15" s="142" t="str">
        <f aca="false">IF(IF(GlobalGH,Climate!$G$73,Climate!$D$73)&lt;=0,"·",IF(IF(GlobalGH,Climate!$I$73,Climate!$F$73)&gt;Crops!$M$13,"H",IF(IF(GlobalGH,Climate!$H$73,Climate!$E$73)&lt;Crops!$K$13,"C","O")))</f>
        <v>O</v>
      </c>
      <c r="BS15" s="142" t="str">
        <f aca="false">IF(IF(GlobalGH,Climate!$G$74,Climate!$D$74)&lt;=0,"·",IF(IF(GlobalGH,Climate!$I$74,Climate!$F$74)&gt;Crops!$M$13,"H",IF(IF(GlobalGH,Climate!$H$74,Climate!$E$74)&lt;Crops!$K$13,"C","O")))</f>
        <v>O</v>
      </c>
      <c r="BT15" s="142" t="str">
        <f aca="false">IF(IF(GlobalGH,Climate!$G$75,Climate!$D$75)&lt;=0,"·",IF(IF(GlobalGH,Climate!$I$75,Climate!$F$75)&gt;Crops!$M$13,"H",IF(IF(GlobalGH,Climate!$H$75,Climate!$E$75)&lt;Crops!$K$13,"C","O")))</f>
        <v>O</v>
      </c>
      <c r="BU15" s="142" t="str">
        <f aca="false">IF(IF(GlobalGH,Climate!$G$76,Climate!$D$76)&lt;=0,"·",IF(IF(GlobalGH,Climate!$I$76,Climate!$F$76)&gt;Crops!$M$13,"H",IF(IF(GlobalGH,Climate!$H$76,Climate!$E$76)&lt;Crops!$K$13,"C","O")))</f>
        <v>O</v>
      </c>
      <c r="BV15" s="142" t="str">
        <f aca="false">IF(IF(GlobalGH,Climate!$G$77,Climate!$D$77)&lt;=0,"·",IF(IF(GlobalGH,Climate!$I$77,Climate!$F$77)&gt;Crops!$M$13,"H",IF(IF(GlobalGH,Climate!$H$77,Climate!$E$77)&lt;Crops!$K$13,"C","O")))</f>
        <v>O</v>
      </c>
      <c r="BW15" s="142" t="str">
        <f aca="false">IF(IF(GlobalGH,Climate!$G$78,Climate!$D$78)&lt;=0,"·",IF(IF(GlobalGH,Climate!$I$78,Climate!$F$78)&gt;Crops!$M$13,"H",IF(IF(GlobalGH,Climate!$H$78,Climate!$E$78)&lt;Crops!$K$13,"C","O")))</f>
        <v>O</v>
      </c>
      <c r="BX15" s="142" t="str">
        <f aca="false">IF(IF(GlobalGH,Climate!$G$79,Climate!$D$79)&lt;=0,"·",IF(IF(GlobalGH,Climate!$I$79,Climate!$F$79)&gt;Crops!$M$13,"H",IF(IF(GlobalGH,Climate!$H$79,Climate!$E$79)&lt;Crops!$K$13,"C","O")))</f>
        <v>C</v>
      </c>
      <c r="BY15" s="142" t="str">
        <f aca="false">IF(IF(GlobalGH,Climate!$G$80,Climate!$D$80)&lt;=0,"·",IF(IF(GlobalGH,Climate!$I$80,Climate!$F$80)&gt;Crops!$M$13,"H",IF(IF(GlobalGH,Climate!$H$80,Climate!$E$80)&lt;Crops!$K$13,"C","O")))</f>
        <v>O</v>
      </c>
      <c r="BZ15" s="142" t="str">
        <f aca="false">IF(IF(GlobalGH,Climate!$G$81,Climate!$D$81)&lt;=0,"·",IF(IF(GlobalGH,Climate!$I$81,Climate!$F$81)&gt;Crops!$M$13,"H",IF(IF(GlobalGH,Climate!$H$81,Climate!$E$81)&lt;Crops!$K$13,"C","O")))</f>
        <v>C</v>
      </c>
      <c r="CA15" s="142" t="str">
        <f aca="false">IF(IF(GlobalGH,Climate!$G$82,Climate!$D$82)&lt;=0,"·",IF(IF(GlobalGH,Climate!$I$82,Climate!$F$82)&gt;Crops!$M$13,"H",IF(IF(GlobalGH,Climate!$H$82,Climate!$E$82)&lt;Crops!$K$13,"C","O")))</f>
        <v>C</v>
      </c>
      <c r="CB15" s="142" t="str">
        <f aca="false">IF(IF(GlobalGH,Climate!$G$83,Climate!$D$83)&lt;=0,"·",IF(IF(GlobalGH,Climate!$I$83,Climate!$F$83)&gt;Crops!$M$13,"H",IF(IF(GlobalGH,Climate!$H$83,Climate!$E$83)&lt;Crops!$K$13,"C","O")))</f>
        <v>C</v>
      </c>
      <c r="CC15" s="142" t="str">
        <f aca="false">IF(IF(GlobalGH,Climate!$G$84,Climate!$D$84)&lt;=0,"·",IF(IF(GlobalGH,Climate!$I$84,Climate!$F$84)&gt;Crops!$M$13,"H",IF(IF(GlobalGH,Climate!$H$84,Climate!$E$84)&lt;Crops!$K$13,"C","O")))</f>
        <v>C</v>
      </c>
      <c r="CD15" s="142" t="str">
        <f aca="false">IF(IF(GlobalGH,Climate!$G$85,Climate!$D$85)&lt;=0,"·",IF(IF(GlobalGH,Climate!$I$85,Climate!$F$85)&gt;Crops!$M$13,"H",IF(IF(GlobalGH,Climate!$H$85,Climate!$E$85)&lt;Crops!$K$13,"C","O")))</f>
        <v>C</v>
      </c>
      <c r="CE15" s="142" t="str">
        <f aca="false">IF(IF(GlobalGH,Climate!$G$86,Climate!$D$86)&lt;=0,"·",IF(IF(GlobalGH,Climate!$I$86,Climate!$F$86)&gt;Crops!$M$13,"H",IF(IF(GlobalGH,Climate!$H$86,Climate!$E$86)&lt;Crops!$K$13,"C","O")))</f>
        <v>C</v>
      </c>
      <c r="CF15" s="142" t="str">
        <f aca="false">IF(IF(GlobalGH,Climate!$G$87,Climate!$D$87)&lt;=0,"·",IF(IF(GlobalGH,Climate!$I$87,Climate!$F$87)&gt;Crops!$M$13,"H",IF(IF(GlobalGH,Climate!$H$87,Climate!$E$87)&lt;Crops!$K$13,"C","O")))</f>
        <v>C</v>
      </c>
      <c r="CG15" s="142" t="str">
        <f aca="false">IF(IF(GlobalGH,Climate!$G$88,Climate!$D$88)&lt;=0,"·",IF(IF(GlobalGH,Climate!$I$88,Climate!$F$88)&gt;Crops!$M$13,"H",IF(IF(GlobalGH,Climate!$H$88,Climate!$E$88)&lt;Crops!$K$13,"C","O")))</f>
        <v>·</v>
      </c>
      <c r="CH15" s="142" t="str">
        <f aca="false">IF(IF(GlobalGH,Climate!$G$89,Climate!$D$89)&lt;=0,"·",IF(IF(GlobalGH,Climate!$I$89,Climate!$F$89)&gt;Crops!$M$13,"H",IF(IF(GlobalGH,Climate!$H$89,Climate!$E$89)&lt;Crops!$K$13,"C","O")))</f>
        <v>·</v>
      </c>
      <c r="CI15" s="142" t="str">
        <f aca="false">IF(IF(GlobalGH,Climate!$G$90,Climate!$D$90)&lt;=0,"·",IF(IF(GlobalGH,Climate!$I$90,Climate!$F$90)&gt;Crops!$M$13,"H",IF(IF(GlobalGH,Climate!$H$90,Climate!$E$90)&lt;Crops!$K$13,"C","O")))</f>
        <v>·</v>
      </c>
      <c r="CJ15" s="142" t="str">
        <f aca="false">IF(IF(GlobalGH,Climate!$G$91,Climate!$D$91)&lt;=0,"·",IF(IF(GlobalGH,Climate!$I$91,Climate!$F$91)&gt;Crops!$M$13,"H",IF(IF(GlobalGH,Climate!$H$91,Climate!$E$91)&lt;Crops!$K$13,"C","O")))</f>
        <v>·</v>
      </c>
      <c r="CK15" s="142" t="str">
        <f aca="false">IF(IF(GlobalGH,Climate!$G$92,Climate!$D$92)&lt;=0,"·",IF(IF(GlobalGH,Climate!$I$92,Climate!$F$92)&gt;Crops!$M$13,"H",IF(IF(GlobalGH,Climate!$H$92,Climate!$E$92)&lt;Crops!$K$13,"C","O")))</f>
        <v>·</v>
      </c>
      <c r="CL15" s="142" t="str">
        <f aca="false">IF(IF(GlobalGH,Climate!$G$93,Climate!$D$93)&lt;=0,"·",IF(IF(GlobalGH,Climate!$I$93,Climate!$F$93)&gt;Crops!$M$13,"H",IF(IF(GlobalGH,Climate!$H$93,Climate!$E$93)&lt;Crops!$K$13,"C","O")))</f>
        <v>·</v>
      </c>
      <c r="CM15" s="142" t="str">
        <f aca="false">IF(IF(GlobalGH,Climate!$G$94,Climate!$D$94)&lt;=0,"·",IF(IF(GlobalGH,Climate!$I$94,Climate!$F$94)&gt;Crops!$M$13,"H",IF(IF(GlobalGH,Climate!$H$94,Climate!$E$94)&lt;Crops!$K$13,"C","O")))</f>
        <v>·</v>
      </c>
      <c r="CN15" s="142" t="str">
        <f aca="false">IF(IF(GlobalGH,Climate!$G$95,Climate!$D$95)&lt;=0,"·",IF(IF(GlobalGH,Climate!$I$95,Climate!$F$95)&gt;Crops!$M$13,"H",IF(IF(GlobalGH,Climate!$H$95,Climate!$E$95)&lt;Crops!$K$13,"C","O")))</f>
        <v>·</v>
      </c>
      <c r="CO15" s="142" t="str">
        <f aca="false">IF(IF(GlobalGH,Climate!$G$96,Climate!$D$96)&lt;=0,"·",IF(IF(GlobalGH,Climate!$I$96,Climate!$F$96)&gt;Crops!$M$13,"H",IF(IF(GlobalGH,Climate!$H$96,Climate!$E$96)&lt;Crops!$K$13,"C","O")))</f>
        <v>·</v>
      </c>
      <c r="CP15" s="142" t="str">
        <f aca="false">IF(IF(GlobalGH,Climate!$G$97,Climate!$D$97)&lt;=0,"·",IF(IF(GlobalGH,Climate!$I$97,Climate!$F$97)&gt;Crops!$M$13,"H",IF(IF(GlobalGH,Climate!$H$97,Climate!$E$97)&lt;Crops!$K$13,"C","O")))</f>
        <v>·</v>
      </c>
      <c r="CQ15" s="142" t="str">
        <f aca="false">IF(IF(GlobalGH,Climate!$G$98,Climate!$D$98)&lt;=0,"·",IF(IF(GlobalGH,Climate!$I$98,Climate!$F$98)&gt;Crops!$M$13,"H",IF(IF(GlobalGH,Climate!$H$98,Climate!$E$98)&lt;Crops!$K$13,"C","O")))</f>
        <v>·</v>
      </c>
      <c r="CR15" s="142" t="str">
        <f aca="false">IF(IF(GlobalGH,Climate!$G$99,Climate!$D$99)&lt;=0,"·",IF(IF(GlobalGH,Climate!$I$99,Climate!$F$99)&gt;Crops!$M$13,"H",IF(IF(GlobalGH,Climate!$H$99,Climate!$E$99)&lt;Crops!$K$13,"C","O")))</f>
        <v>·</v>
      </c>
      <c r="CS15" s="142" t="str">
        <f aca="false">IF(IF(GlobalGH,Climate!$G$100,Climate!$D$100)&lt;=0,"·",IF(IF(GlobalGH,Climate!$I$100,Climate!$F$100)&gt;Crops!$M$13,"H",IF(IF(GlobalGH,Climate!$H$100,Climate!$E$100)&lt;Crops!$K$13,"C","O")))</f>
        <v>·</v>
      </c>
      <c r="CT15" s="142" t="str">
        <f aca="false">IF(IF(GlobalGH,Climate!$G$101,Climate!$D$101)&lt;=0,"·",IF(IF(GlobalGH,Climate!$I$101,Climate!$F$101)&gt;Crops!$M$13,"H",IF(IF(GlobalGH,Climate!$H$101,Climate!$E$101)&lt;Crops!$K$13,"C","O")))</f>
        <v>·</v>
      </c>
      <c r="CU15" s="142" t="str">
        <f aca="false">IF(IF(GlobalGH,Climate!$G$102,Climate!$D$102)&lt;=0,"·",IF(IF(GlobalGH,Climate!$I$102,Climate!$F$102)&gt;Crops!$M$13,"H",IF(IF(GlobalGH,Climate!$H$102,Climate!$E$102)&lt;Crops!$K$13,"C","O")))</f>
        <v>·</v>
      </c>
      <c r="CV15" s="142" t="str">
        <f aca="false">IF(IF(GlobalGH,Climate!$G$103,Climate!$D$103)&lt;=0,"·",IF(IF(GlobalGH,Climate!$I$103,Climate!$F$103)&gt;Crops!$M$13,"H",IF(IF(GlobalGH,Climate!$H$103,Climate!$E$103)&lt;Crops!$K$13,"C","O")))</f>
        <v>·</v>
      </c>
      <c r="CW15" s="142" t="str">
        <f aca="false">IF(IF(GlobalGH,Climate!$G$104,Climate!$D$104)&lt;=0,"·",IF(IF(GlobalGH,Climate!$I$104,Climate!$F$104)&gt;Crops!$M$13,"H",IF(IF(GlobalGH,Climate!$H$104,Climate!$E$104)&lt;Crops!$K$13,"C","O")))</f>
        <v>·</v>
      </c>
      <c r="CX15" s="142" t="str">
        <f aca="false">IF(IF(GlobalGH,Climate!$G$105,Climate!$D$105)&lt;=0,"·",IF(IF(GlobalGH,Climate!$I$105,Climate!$F$105)&gt;Crops!$M$13,"H",IF(IF(GlobalGH,Climate!$H$105,Climate!$E$105)&lt;Crops!$K$13,"C","O")))</f>
        <v>·</v>
      </c>
      <c r="CY15" s="142" t="str">
        <f aca="false">IF(IF(GlobalGH,Climate!$G$106,Climate!$D$106)&lt;=0,"·",IF(IF(GlobalGH,Climate!$I$106,Climate!$F$106)&gt;Crops!$M$13,"H",IF(IF(GlobalGH,Climate!$H$106,Climate!$E$106)&lt;Crops!$K$13,"C","O")))</f>
        <v>·</v>
      </c>
      <c r="CZ15" s="142" t="str">
        <f aca="false">IF(IF(GlobalGH,Climate!$G$107,Climate!$D$107)&lt;=0,"·",IF(IF(GlobalGH,Climate!$I$107,Climate!$F$107)&gt;Crops!$M$13,"H",IF(IF(GlobalGH,Climate!$H$107,Climate!$E$107)&lt;Crops!$K$13,"C","O")))</f>
        <v>·</v>
      </c>
      <c r="DA15" s="142" t="str">
        <f aca="false">IF(IF(GlobalGH,Climate!$G$108,Climate!$D$108)&lt;=0,"·",IF(IF(GlobalGH,Climate!$I$108,Climate!$F$108)&gt;Crops!$M$13,"H",IF(IF(GlobalGH,Climate!$H$108,Climate!$E$108)&lt;Crops!$K$13,"C","O")))</f>
        <v>·</v>
      </c>
      <c r="DB15" s="142" t="str">
        <f aca="false">IF(IF(GlobalGH,Climate!$G$109,Climate!$D$109)&lt;=0,"·",IF(IF(GlobalGH,Climate!$I$109,Climate!$F$109)&gt;Crops!$M$13,"H",IF(IF(GlobalGH,Climate!$H$109,Climate!$E$109)&lt;Crops!$K$13,"C","O")))</f>
        <v>·</v>
      </c>
      <c r="DC15" s="142" t="str">
        <f aca="false">IF(IF(GlobalGH,Climate!$G$110,Climate!$D$110)&lt;=0,"·",IF(IF(GlobalGH,Climate!$I$110,Climate!$F$110)&gt;Crops!$M$13,"H",IF(IF(GlobalGH,Climate!$H$110,Climate!$E$110)&lt;Crops!$K$13,"C","O")))</f>
        <v>·</v>
      </c>
      <c r="DD15" s="142" t="str">
        <f aca="false">IF(IF(GlobalGH,Climate!$G$111,Climate!$D$111)&lt;=0,"·",IF(IF(GlobalGH,Climate!$I$111,Climate!$F$111)&gt;Crops!$M$13,"H",IF(IF(GlobalGH,Climate!$H$111,Climate!$E$111)&lt;Crops!$K$13,"C","O")))</f>
        <v>·</v>
      </c>
      <c r="DE15" s="142" t="str">
        <f aca="false">IF(IF(GlobalGH,Climate!$G$112,Climate!$D$112)&lt;=0,"·",IF(IF(GlobalGH,Climate!$I$112,Climate!$F$112)&gt;Crops!$M$13,"H",IF(IF(GlobalGH,Climate!$H$112,Climate!$E$112)&lt;Crops!$K$13,"C","O")))</f>
        <v>·</v>
      </c>
      <c r="DF15" s="143" t="n">
        <f aca="false">COUNTIF(B15:DE15,"O")</f>
        <v>33</v>
      </c>
      <c r="DG15" s="139" t="s">
        <v>421</v>
      </c>
    </row>
    <row r="16" customFormat="false" ht="15" hidden="false" customHeight="true" outlineLevel="0" collapsed="false">
      <c r="A16" s="144" t="str">
        <f aca="false">Crops!$B$14</f>
        <v>Flax</v>
      </c>
      <c r="B16" s="142" t="str">
        <f aca="false">IF(IF(GlobalGH,Climate!$G$5,Climate!$D$5)&lt;=0,"·",IF(IF(GlobalGH,Climate!$I$5,Climate!$F$5)&gt;Crops!$M$14,"H",IF(IF(GlobalGH,Climate!$H$5,Climate!$E$5)&lt;Crops!$K$14,"C","O")))</f>
        <v>·</v>
      </c>
      <c r="C16" s="142" t="str">
        <f aca="false">IF(IF(GlobalGH,Climate!$G$6,Climate!$D$6)&lt;=0,"·",IF(IF(GlobalGH,Climate!$I$6,Climate!$F$6)&gt;Crops!$M$14,"H",IF(IF(GlobalGH,Climate!$H$6,Climate!$E$6)&lt;Crops!$K$14,"C","O")))</f>
        <v>·</v>
      </c>
      <c r="D16" s="142" t="str">
        <f aca="false">IF(IF(GlobalGH,Climate!$G$7,Climate!$D$7)&lt;=0,"·",IF(IF(GlobalGH,Climate!$I$7,Climate!$F$7)&gt;Crops!$M$14,"H",IF(IF(GlobalGH,Climate!$H$7,Climate!$E$7)&lt;Crops!$K$14,"C","O")))</f>
        <v>·</v>
      </c>
      <c r="E16" s="142" t="str">
        <f aca="false">IF(IF(GlobalGH,Climate!$G$8,Climate!$D$8)&lt;=0,"·",IF(IF(GlobalGH,Climate!$I$8,Climate!$F$8)&gt;Crops!$M$14,"H",IF(IF(GlobalGH,Climate!$H$8,Climate!$E$8)&lt;Crops!$K$14,"C","O")))</f>
        <v>·</v>
      </c>
      <c r="F16" s="142" t="str">
        <f aca="false">IF(IF(GlobalGH,Climate!$G$9,Climate!$D$9)&lt;=0,"·",IF(IF(GlobalGH,Climate!$I$9,Climate!$F$9)&gt;Crops!$M$14,"H",IF(IF(GlobalGH,Climate!$H$9,Climate!$E$9)&lt;Crops!$K$14,"C","O")))</f>
        <v>·</v>
      </c>
      <c r="G16" s="142" t="str">
        <f aca="false">IF(IF(GlobalGH,Climate!$G$10,Climate!$D$10)&lt;=0,"·",IF(IF(GlobalGH,Climate!$I$10,Climate!$F$10)&gt;Crops!$M$14,"H",IF(IF(GlobalGH,Climate!$H$10,Climate!$E$10)&lt;Crops!$K$14,"C","O")))</f>
        <v>·</v>
      </c>
      <c r="H16" s="142" t="str">
        <f aca="false">IF(IF(GlobalGH,Climate!$G$11,Climate!$D$11)&lt;=0,"·",IF(IF(GlobalGH,Climate!$I$11,Climate!$F$11)&gt;Crops!$M$14,"H",IF(IF(GlobalGH,Climate!$H$11,Climate!$E$11)&lt;Crops!$K$14,"C","O")))</f>
        <v>·</v>
      </c>
      <c r="I16" s="142" t="str">
        <f aca="false">IF(IF(GlobalGH,Climate!$G$12,Climate!$D$12)&lt;=0,"·",IF(IF(GlobalGH,Climate!$I$12,Climate!$F$12)&gt;Crops!$M$14,"H",IF(IF(GlobalGH,Climate!$H$12,Climate!$E$12)&lt;Crops!$K$14,"C","O")))</f>
        <v>·</v>
      </c>
      <c r="J16" s="142" t="str">
        <f aca="false">IF(IF(GlobalGH,Climate!$G$13,Climate!$D$13)&lt;=0,"·",IF(IF(GlobalGH,Climate!$I$13,Climate!$F$13)&gt;Crops!$M$14,"H",IF(IF(GlobalGH,Climate!$H$13,Climate!$E$13)&lt;Crops!$K$14,"C","O")))</f>
        <v>·</v>
      </c>
      <c r="K16" s="142" t="str">
        <f aca="false">IF(IF(GlobalGH,Climate!$G$14,Climate!$D$14)&lt;=0,"·",IF(IF(GlobalGH,Climate!$I$14,Climate!$F$14)&gt;Crops!$M$14,"H",IF(IF(GlobalGH,Climate!$H$14,Climate!$E$14)&lt;Crops!$K$14,"C","O")))</f>
        <v>·</v>
      </c>
      <c r="L16" s="142" t="str">
        <f aca="false">IF(IF(GlobalGH,Climate!$G$15,Climate!$D$15)&lt;=0,"·",IF(IF(GlobalGH,Climate!$I$15,Climate!$F$15)&gt;Crops!$M$14,"H",IF(IF(GlobalGH,Climate!$H$15,Climate!$E$15)&lt;Crops!$K$14,"C","O")))</f>
        <v>·</v>
      </c>
      <c r="M16" s="142" t="str">
        <f aca="false">IF(IF(GlobalGH,Climate!$G$16,Climate!$D$16)&lt;=0,"·",IF(IF(GlobalGH,Climate!$I$16,Climate!$F$16)&gt;Crops!$M$14,"H",IF(IF(GlobalGH,Climate!$H$16,Climate!$E$16)&lt;Crops!$K$14,"C","O")))</f>
        <v>·</v>
      </c>
      <c r="N16" s="142" t="str">
        <f aca="false">IF(IF(GlobalGH,Climate!$G$17,Climate!$D$17)&lt;=0,"·",IF(IF(GlobalGH,Climate!$I$17,Climate!$F$17)&gt;Crops!$M$14,"H",IF(IF(GlobalGH,Climate!$H$17,Climate!$E$17)&lt;Crops!$K$14,"C","O")))</f>
        <v>·</v>
      </c>
      <c r="O16" s="142" t="str">
        <f aca="false">IF(IF(GlobalGH,Climate!$G$18,Climate!$D$18)&lt;=0,"·",IF(IF(GlobalGH,Climate!$I$18,Climate!$F$18)&gt;Crops!$M$14,"H",IF(IF(GlobalGH,Climate!$H$18,Climate!$E$18)&lt;Crops!$K$14,"C","O")))</f>
        <v>·</v>
      </c>
      <c r="P16" s="142" t="str">
        <f aca="false">IF(IF(GlobalGH,Climate!$G$19,Climate!$D$19)&lt;=0,"·",IF(IF(GlobalGH,Climate!$I$19,Climate!$F$19)&gt;Crops!$M$14,"H",IF(IF(GlobalGH,Climate!$H$19,Climate!$E$19)&lt;Crops!$K$14,"C","O")))</f>
        <v>·</v>
      </c>
      <c r="Q16" s="142" t="str">
        <f aca="false">IF(IF(GlobalGH,Climate!$G$20,Climate!$D$20)&lt;=0,"·",IF(IF(GlobalGH,Climate!$I$20,Climate!$F$20)&gt;Crops!$M$14,"H",IF(IF(GlobalGH,Climate!$H$20,Climate!$E$20)&lt;Crops!$K$14,"C","O")))</f>
        <v>·</v>
      </c>
      <c r="R16" s="142" t="str">
        <f aca="false">IF(IF(GlobalGH,Climate!$G$21,Climate!$D$21)&lt;=0,"·",IF(IF(GlobalGH,Climate!$I$21,Climate!$F$21)&gt;Crops!$M$14,"H",IF(IF(GlobalGH,Climate!$H$21,Climate!$E$21)&lt;Crops!$K$14,"C","O")))</f>
        <v>·</v>
      </c>
      <c r="S16" s="142" t="str">
        <f aca="false">IF(IF(GlobalGH,Climate!$G$22,Climate!$D$22)&lt;=0,"·",IF(IF(GlobalGH,Climate!$I$22,Climate!$F$22)&gt;Crops!$M$14,"H",IF(IF(GlobalGH,Climate!$H$22,Climate!$E$22)&lt;Crops!$K$14,"C","O")))</f>
        <v>·</v>
      </c>
      <c r="T16" s="142" t="str">
        <f aca="false">IF(IF(GlobalGH,Climate!$G$23,Climate!$D$23)&lt;=0,"·",IF(IF(GlobalGH,Climate!$I$23,Climate!$F$23)&gt;Crops!$M$14,"H",IF(IF(GlobalGH,Climate!$H$23,Climate!$E$23)&lt;Crops!$K$14,"C","O")))</f>
        <v>·</v>
      </c>
      <c r="U16" s="142" t="str">
        <f aca="false">IF(IF(GlobalGH,Climate!$G$24,Climate!$D$24)&lt;=0,"·",IF(IF(GlobalGH,Climate!$I$24,Climate!$F$24)&gt;Crops!$M$14,"H",IF(IF(GlobalGH,Climate!$H$24,Climate!$E$24)&lt;Crops!$K$14,"C","O")))</f>
        <v>·</v>
      </c>
      <c r="V16" s="142" t="str">
        <f aca="false">IF(IF(GlobalGH,Climate!$G$25,Climate!$D$25)&lt;=0,"·",IF(IF(GlobalGH,Climate!$I$25,Climate!$F$25)&gt;Crops!$M$14,"H",IF(IF(GlobalGH,Climate!$H$25,Climate!$E$25)&lt;Crops!$K$14,"C","O")))</f>
        <v>·</v>
      </c>
      <c r="W16" s="142" t="str">
        <f aca="false">IF(IF(GlobalGH,Climate!$G$26,Climate!$D$26)&lt;=0,"·",IF(IF(GlobalGH,Climate!$I$26,Climate!$F$26)&gt;Crops!$M$14,"H",IF(IF(GlobalGH,Climate!$H$26,Climate!$E$26)&lt;Crops!$K$14,"C","O")))</f>
        <v>·</v>
      </c>
      <c r="X16" s="142" t="str">
        <f aca="false">IF(IF(GlobalGH,Climate!$G$27,Climate!$D$27)&lt;=0,"·",IF(IF(GlobalGH,Climate!$I$27,Climate!$F$27)&gt;Crops!$M$14,"H",IF(IF(GlobalGH,Climate!$H$27,Climate!$E$27)&lt;Crops!$K$14,"C","O")))</f>
        <v>·</v>
      </c>
      <c r="Y16" s="142" t="str">
        <f aca="false">IF(IF(GlobalGH,Climate!$G$28,Climate!$D$28)&lt;=0,"·",IF(IF(GlobalGH,Climate!$I$28,Climate!$F$28)&gt;Crops!$M$14,"H",IF(IF(GlobalGH,Climate!$H$28,Climate!$E$28)&lt;Crops!$K$14,"C","O")))</f>
        <v>·</v>
      </c>
      <c r="Z16" s="142" t="str">
        <f aca="false">IF(IF(GlobalGH,Climate!$G$29,Climate!$D$29)&lt;=0,"·",IF(IF(GlobalGH,Climate!$I$29,Climate!$F$29)&gt;Crops!$M$14,"H",IF(IF(GlobalGH,Climate!$H$29,Climate!$E$29)&lt;Crops!$K$14,"C","O")))</f>
        <v>·</v>
      </c>
      <c r="AA16" s="142" t="str">
        <f aca="false">IF(IF(GlobalGH,Climate!$G$30,Climate!$D$30)&lt;=0,"·",IF(IF(GlobalGH,Climate!$I$30,Climate!$F$30)&gt;Crops!$M$14,"H",IF(IF(GlobalGH,Climate!$H$30,Climate!$E$30)&lt;Crops!$K$14,"C","O")))</f>
        <v>·</v>
      </c>
      <c r="AB16" s="142" t="str">
        <f aca="false">IF(IF(GlobalGH,Climate!$G$31,Climate!$D$31)&lt;=0,"·",IF(IF(GlobalGH,Climate!$I$31,Climate!$F$31)&gt;Crops!$M$14,"H",IF(IF(GlobalGH,Climate!$H$31,Climate!$E$31)&lt;Crops!$K$14,"C","O")))</f>
        <v>·</v>
      </c>
      <c r="AC16" s="142" t="str">
        <f aca="false">IF(IF(GlobalGH,Climate!$G$32,Climate!$D$32)&lt;=0,"·",IF(IF(GlobalGH,Climate!$I$32,Climate!$F$32)&gt;Crops!$M$14,"H",IF(IF(GlobalGH,Climate!$H$32,Climate!$E$32)&lt;Crops!$K$14,"C","O")))</f>
        <v>·</v>
      </c>
      <c r="AD16" s="142" t="str">
        <f aca="false">IF(IF(GlobalGH,Climate!$G$33,Climate!$D$33)&lt;=0,"·",IF(IF(GlobalGH,Climate!$I$33,Climate!$F$33)&gt;Crops!$M$14,"H",IF(IF(GlobalGH,Climate!$H$33,Climate!$E$33)&lt;Crops!$K$14,"C","O")))</f>
        <v>·</v>
      </c>
      <c r="AE16" s="142" t="str">
        <f aca="false">IF(IF(GlobalGH,Climate!$G$34,Climate!$D$34)&lt;=0,"·",IF(IF(GlobalGH,Climate!$I$34,Climate!$F$34)&gt;Crops!$M$14,"H",IF(IF(GlobalGH,Climate!$H$34,Climate!$E$34)&lt;Crops!$K$14,"C","O")))</f>
        <v>·</v>
      </c>
      <c r="AF16" s="142" t="str">
        <f aca="false">IF(IF(GlobalGH,Climate!$G$35,Climate!$D$35)&lt;=0,"·",IF(IF(GlobalGH,Climate!$I$35,Climate!$F$35)&gt;Crops!$M$14,"H",IF(IF(GlobalGH,Climate!$H$35,Climate!$E$35)&lt;Crops!$K$14,"C","O")))</f>
        <v>·</v>
      </c>
      <c r="AG16" s="142" t="str">
        <f aca="false">IF(IF(GlobalGH,Climate!$G$36,Climate!$D$36)&lt;=0,"·",IF(IF(GlobalGH,Climate!$I$36,Climate!$F$36)&gt;Crops!$M$14,"H",IF(IF(GlobalGH,Climate!$H$36,Climate!$E$36)&lt;Crops!$K$14,"C","O")))</f>
        <v>·</v>
      </c>
      <c r="AH16" s="142" t="str">
        <f aca="false">IF(IF(GlobalGH,Climate!$G$37,Climate!$D$37)&lt;=0,"·",IF(IF(GlobalGH,Climate!$I$37,Climate!$F$37)&gt;Crops!$M$14,"H",IF(IF(GlobalGH,Climate!$H$37,Climate!$E$37)&lt;Crops!$K$14,"C","O")))</f>
        <v>·</v>
      </c>
      <c r="AI16" s="142" t="str">
        <f aca="false">IF(IF(GlobalGH,Climate!$G$38,Climate!$D$38)&lt;=0,"·",IF(IF(GlobalGH,Climate!$I$38,Climate!$F$38)&gt;Crops!$M$14,"H",IF(IF(GlobalGH,Climate!$H$38,Climate!$E$38)&lt;Crops!$K$14,"C","O")))</f>
        <v>C</v>
      </c>
      <c r="AJ16" s="142" t="str">
        <f aca="false">IF(IF(GlobalGH,Climate!$G$39,Climate!$D$39)&lt;=0,"·",IF(IF(GlobalGH,Climate!$I$39,Climate!$F$39)&gt;Crops!$M$14,"H",IF(IF(GlobalGH,Climate!$H$39,Climate!$E$39)&lt;Crops!$K$14,"C","O")))</f>
        <v>C</v>
      </c>
      <c r="AK16" s="142" t="str">
        <f aca="false">IF(IF(GlobalGH,Climate!$G$40,Climate!$D$40)&lt;=0,"·",IF(IF(GlobalGH,Climate!$I$40,Climate!$F$40)&gt;Crops!$M$14,"H",IF(IF(GlobalGH,Climate!$H$40,Climate!$E$40)&lt;Crops!$K$14,"C","O")))</f>
        <v>C</v>
      </c>
      <c r="AL16" s="142" t="str">
        <f aca="false">IF(IF(GlobalGH,Climate!$G$41,Climate!$D$41)&lt;=0,"·",IF(IF(GlobalGH,Climate!$I$41,Climate!$F$41)&gt;Crops!$M$14,"H",IF(IF(GlobalGH,Climate!$H$41,Climate!$E$41)&lt;Crops!$K$14,"C","O")))</f>
        <v>C</v>
      </c>
      <c r="AM16" s="142" t="str">
        <f aca="false">IF(IF(GlobalGH,Climate!$G$42,Climate!$D$42)&lt;=0,"·",IF(IF(GlobalGH,Climate!$I$42,Climate!$F$42)&gt;Crops!$M$14,"H",IF(IF(GlobalGH,Climate!$H$42,Climate!$E$42)&lt;Crops!$K$14,"C","O")))</f>
        <v>C</v>
      </c>
      <c r="AN16" s="142" t="str">
        <f aca="false">IF(IF(GlobalGH,Climate!$G$43,Climate!$D$43)&lt;=0,"·",IF(IF(GlobalGH,Climate!$I$43,Climate!$F$43)&gt;Crops!$M$14,"H",IF(IF(GlobalGH,Climate!$H$43,Climate!$E$43)&lt;Crops!$K$14,"C","O")))</f>
        <v>C</v>
      </c>
      <c r="AO16" s="142" t="str">
        <f aca="false">IF(IF(GlobalGH,Climate!$G$44,Climate!$D$44)&lt;=0,"·",IF(IF(GlobalGH,Climate!$I$44,Climate!$F$44)&gt;Crops!$M$14,"H",IF(IF(GlobalGH,Climate!$H$44,Climate!$E$44)&lt;Crops!$K$14,"C","O")))</f>
        <v>C</v>
      </c>
      <c r="AP16" s="142" t="str">
        <f aca="false">IF(IF(GlobalGH,Climate!$G$45,Climate!$D$45)&lt;=0,"·",IF(IF(GlobalGH,Climate!$I$45,Climate!$F$45)&gt;Crops!$M$14,"H",IF(IF(GlobalGH,Climate!$H$45,Climate!$E$45)&lt;Crops!$K$14,"C","O")))</f>
        <v>C</v>
      </c>
      <c r="AQ16" s="142" t="str">
        <f aca="false">IF(IF(GlobalGH,Climate!$G$46,Climate!$D$46)&lt;=0,"·",IF(IF(GlobalGH,Climate!$I$46,Climate!$F$46)&gt;Crops!$M$14,"H",IF(IF(GlobalGH,Climate!$H$46,Climate!$E$46)&lt;Crops!$K$14,"C","O")))</f>
        <v>C</v>
      </c>
      <c r="AR16" s="142" t="str">
        <f aca="false">IF(IF(GlobalGH,Climate!$G$47,Climate!$D$47)&lt;=0,"·",IF(IF(GlobalGH,Climate!$I$47,Climate!$F$47)&gt;Crops!$M$14,"H",IF(IF(GlobalGH,Climate!$H$47,Climate!$E$47)&lt;Crops!$K$14,"C","O")))</f>
        <v>O</v>
      </c>
      <c r="AS16" s="142" t="str">
        <f aca="false">IF(IF(GlobalGH,Climate!$G$48,Climate!$D$48)&lt;=0,"·",IF(IF(GlobalGH,Climate!$I$48,Climate!$F$48)&gt;Crops!$M$14,"H",IF(IF(GlobalGH,Climate!$H$48,Climate!$E$48)&lt;Crops!$K$14,"C","O")))</f>
        <v>O</v>
      </c>
      <c r="AT16" s="142" t="str">
        <f aca="false">IF(IF(GlobalGH,Climate!$G$49,Climate!$D$49)&lt;=0,"·",IF(IF(GlobalGH,Climate!$I$49,Climate!$F$49)&gt;Crops!$M$14,"H",IF(IF(GlobalGH,Climate!$H$49,Climate!$E$49)&lt;Crops!$K$14,"C","O")))</f>
        <v>O</v>
      </c>
      <c r="AU16" s="142" t="str">
        <f aca="false">IF(IF(GlobalGH,Climate!$G$50,Climate!$D$50)&lt;=0,"·",IF(IF(GlobalGH,Climate!$I$50,Climate!$F$50)&gt;Crops!$M$14,"H",IF(IF(GlobalGH,Climate!$H$50,Climate!$E$50)&lt;Crops!$K$14,"C","O")))</f>
        <v>O</v>
      </c>
      <c r="AV16" s="142" t="str">
        <f aca="false">IF(IF(GlobalGH,Climate!$G$51,Climate!$D$51)&lt;=0,"·",IF(IF(GlobalGH,Climate!$I$51,Climate!$F$51)&gt;Crops!$M$14,"H",IF(IF(GlobalGH,Climate!$H$51,Climate!$E$51)&lt;Crops!$K$14,"C","O")))</f>
        <v>O</v>
      </c>
      <c r="AW16" s="142" t="str">
        <f aca="false">IF(IF(GlobalGH,Climate!$G$52,Climate!$D$52)&lt;=0,"·",IF(IF(GlobalGH,Climate!$I$52,Climate!$F$52)&gt;Crops!$M$14,"H",IF(IF(GlobalGH,Climate!$H$52,Climate!$E$52)&lt;Crops!$K$14,"C","O")))</f>
        <v>O</v>
      </c>
      <c r="AX16" s="142" t="str">
        <f aca="false">IF(IF(GlobalGH,Climate!$G$53,Climate!$D$53)&lt;=0,"·",IF(IF(GlobalGH,Climate!$I$53,Climate!$F$53)&gt;Crops!$M$14,"H",IF(IF(GlobalGH,Climate!$H$53,Climate!$E$53)&lt;Crops!$K$14,"C","O")))</f>
        <v>O</v>
      </c>
      <c r="AY16" s="142" t="str">
        <f aca="false">IF(IF(GlobalGH,Climate!$G$54,Climate!$D$54)&lt;=0,"·",IF(IF(GlobalGH,Climate!$I$54,Climate!$F$54)&gt;Crops!$M$14,"H",IF(IF(GlobalGH,Climate!$H$54,Climate!$E$54)&lt;Crops!$K$14,"C","O")))</f>
        <v>O</v>
      </c>
      <c r="AZ16" s="142" t="str">
        <f aca="false">IF(IF(GlobalGH,Climate!$G$55,Climate!$D$55)&lt;=0,"·",IF(IF(GlobalGH,Climate!$I$55,Climate!$F$55)&gt;Crops!$M$14,"H",IF(IF(GlobalGH,Climate!$H$55,Climate!$E$55)&lt;Crops!$K$14,"C","O")))</f>
        <v>O</v>
      </c>
      <c r="BA16" s="142" t="str">
        <f aca="false">IF(IF(GlobalGH,Climate!$G$56,Climate!$D$56)&lt;=0,"·",IF(IF(GlobalGH,Climate!$I$56,Climate!$F$56)&gt;Crops!$M$14,"H",IF(IF(GlobalGH,Climate!$H$56,Climate!$E$56)&lt;Crops!$K$14,"C","O")))</f>
        <v>O</v>
      </c>
      <c r="BB16" s="142" t="str">
        <f aca="false">IF(IF(GlobalGH,Climate!$G$57,Climate!$D$57)&lt;=0,"·",IF(IF(GlobalGH,Climate!$I$57,Climate!$F$57)&gt;Crops!$M$14,"H",IF(IF(GlobalGH,Climate!$H$57,Climate!$E$57)&lt;Crops!$K$14,"C","O")))</f>
        <v>O</v>
      </c>
      <c r="BC16" s="142" t="str">
        <f aca="false">IF(IF(GlobalGH,Climate!$G$58,Climate!$D$58)&lt;=0,"·",IF(IF(GlobalGH,Climate!$I$58,Climate!$F$58)&gt;Crops!$M$14,"H",IF(IF(GlobalGH,Climate!$H$58,Climate!$E$58)&lt;Crops!$K$14,"C","O")))</f>
        <v>O</v>
      </c>
      <c r="BD16" s="142" t="str">
        <f aca="false">IF(IF(GlobalGH,Climate!$G$59,Climate!$D$59)&lt;=0,"·",IF(IF(GlobalGH,Climate!$I$59,Climate!$F$59)&gt;Crops!$M$14,"H",IF(IF(GlobalGH,Climate!$H$59,Climate!$E$59)&lt;Crops!$K$14,"C","O")))</f>
        <v>O</v>
      </c>
      <c r="BE16" s="142" t="str">
        <f aca="false">IF(IF(GlobalGH,Climate!$G$60,Climate!$D$60)&lt;=0,"·",IF(IF(GlobalGH,Climate!$I$60,Climate!$F$60)&gt;Crops!$M$14,"H",IF(IF(GlobalGH,Climate!$H$60,Climate!$E$60)&lt;Crops!$K$14,"C","O")))</f>
        <v>O</v>
      </c>
      <c r="BF16" s="142" t="str">
        <f aca="false">IF(IF(GlobalGH,Climate!$G$61,Climate!$D$61)&lt;=0,"·",IF(IF(GlobalGH,Climate!$I$61,Climate!$F$61)&gt;Crops!$M$14,"H",IF(IF(GlobalGH,Climate!$H$61,Climate!$E$61)&lt;Crops!$K$14,"C","O")))</f>
        <v>O</v>
      </c>
      <c r="BG16" s="142" t="str">
        <f aca="false">IF(IF(GlobalGH,Climate!$G$62,Climate!$D$62)&lt;=0,"·",IF(IF(GlobalGH,Climate!$I$62,Climate!$F$62)&gt;Crops!$M$14,"H",IF(IF(GlobalGH,Climate!$H$62,Climate!$E$62)&lt;Crops!$K$14,"C","O")))</f>
        <v>O</v>
      </c>
      <c r="BH16" s="142" t="str">
        <f aca="false">IF(IF(GlobalGH,Climate!$G$63,Climate!$D$63)&lt;=0,"·",IF(IF(GlobalGH,Climate!$I$63,Climate!$F$63)&gt;Crops!$M$14,"H",IF(IF(GlobalGH,Climate!$H$63,Climate!$E$63)&lt;Crops!$K$14,"C","O")))</f>
        <v>O</v>
      </c>
      <c r="BI16" s="142" t="str">
        <f aca="false">IF(IF(GlobalGH,Climate!$G$64,Climate!$D$64)&lt;=0,"·",IF(IF(GlobalGH,Climate!$I$64,Climate!$F$64)&gt;Crops!$M$14,"H",IF(IF(GlobalGH,Climate!$H$64,Climate!$E$64)&lt;Crops!$K$14,"C","O")))</f>
        <v>O</v>
      </c>
      <c r="BJ16" s="142" t="str">
        <f aca="false">IF(IF(GlobalGH,Climate!$G$65,Climate!$D$65)&lt;=0,"·",IF(IF(GlobalGH,Climate!$I$65,Climate!$F$65)&gt;Crops!$M$14,"H",IF(IF(GlobalGH,Climate!$H$65,Climate!$E$65)&lt;Crops!$K$14,"C","O")))</f>
        <v>O</v>
      </c>
      <c r="BK16" s="142" t="str">
        <f aca="false">IF(IF(GlobalGH,Climate!$G$66,Climate!$D$66)&lt;=0,"·",IF(IF(GlobalGH,Climate!$I$66,Climate!$F$66)&gt;Crops!$M$14,"H",IF(IF(GlobalGH,Climate!$H$66,Climate!$E$66)&lt;Crops!$K$14,"C","O")))</f>
        <v>O</v>
      </c>
      <c r="BL16" s="142" t="str">
        <f aca="false">IF(IF(GlobalGH,Climate!$G$67,Climate!$D$67)&lt;=0,"·",IF(IF(GlobalGH,Climate!$I$67,Climate!$F$67)&gt;Crops!$M$14,"H",IF(IF(GlobalGH,Climate!$H$67,Climate!$E$67)&lt;Crops!$K$14,"C","O")))</f>
        <v>O</v>
      </c>
      <c r="BM16" s="142" t="str">
        <f aca="false">IF(IF(GlobalGH,Climate!$G$68,Climate!$D$68)&lt;=0,"·",IF(IF(GlobalGH,Climate!$I$68,Climate!$F$68)&gt;Crops!$M$14,"H",IF(IF(GlobalGH,Climate!$H$68,Climate!$E$68)&lt;Crops!$K$14,"C","O")))</f>
        <v>O</v>
      </c>
      <c r="BN16" s="142" t="str">
        <f aca="false">IF(IF(GlobalGH,Climate!$G$69,Climate!$D$69)&lt;=0,"·",IF(IF(GlobalGH,Climate!$I$69,Climate!$F$69)&gt;Crops!$M$14,"H",IF(IF(GlobalGH,Climate!$H$69,Climate!$E$69)&lt;Crops!$K$14,"C","O")))</f>
        <v>O</v>
      </c>
      <c r="BO16" s="142" t="str">
        <f aca="false">IF(IF(GlobalGH,Climate!$G$70,Climate!$D$70)&lt;=0,"·",IF(IF(GlobalGH,Climate!$I$70,Climate!$F$70)&gt;Crops!$M$14,"H",IF(IF(GlobalGH,Climate!$H$70,Climate!$E$70)&lt;Crops!$K$14,"C","O")))</f>
        <v>O</v>
      </c>
      <c r="BP16" s="142" t="str">
        <f aca="false">IF(IF(GlobalGH,Climate!$G$71,Climate!$D$71)&lt;=0,"·",IF(IF(GlobalGH,Climate!$I$71,Climate!$F$71)&gt;Crops!$M$14,"H",IF(IF(GlobalGH,Climate!$H$71,Climate!$E$71)&lt;Crops!$K$14,"C","O")))</f>
        <v>O</v>
      </c>
      <c r="BQ16" s="142" t="str">
        <f aca="false">IF(IF(GlobalGH,Climate!$G$72,Climate!$D$72)&lt;=0,"·",IF(IF(GlobalGH,Climate!$I$72,Climate!$F$72)&gt;Crops!$M$14,"H",IF(IF(GlobalGH,Climate!$H$72,Climate!$E$72)&lt;Crops!$K$14,"C","O")))</f>
        <v>O</v>
      </c>
      <c r="BR16" s="142" t="str">
        <f aca="false">IF(IF(GlobalGH,Climate!$G$73,Climate!$D$73)&lt;=0,"·",IF(IF(GlobalGH,Climate!$I$73,Climate!$F$73)&gt;Crops!$M$14,"H",IF(IF(GlobalGH,Climate!$H$73,Climate!$E$73)&lt;Crops!$K$14,"C","O")))</f>
        <v>O</v>
      </c>
      <c r="BS16" s="142" t="str">
        <f aca="false">IF(IF(GlobalGH,Climate!$G$74,Climate!$D$74)&lt;=0,"·",IF(IF(GlobalGH,Climate!$I$74,Climate!$F$74)&gt;Crops!$M$14,"H",IF(IF(GlobalGH,Climate!$H$74,Climate!$E$74)&lt;Crops!$K$14,"C","O")))</f>
        <v>O</v>
      </c>
      <c r="BT16" s="142" t="str">
        <f aca="false">IF(IF(GlobalGH,Climate!$G$75,Climate!$D$75)&lt;=0,"·",IF(IF(GlobalGH,Climate!$I$75,Climate!$F$75)&gt;Crops!$M$14,"H",IF(IF(GlobalGH,Climate!$H$75,Climate!$E$75)&lt;Crops!$K$14,"C","O")))</f>
        <v>O</v>
      </c>
      <c r="BU16" s="142" t="str">
        <f aca="false">IF(IF(GlobalGH,Climate!$G$76,Climate!$D$76)&lt;=0,"·",IF(IF(GlobalGH,Climate!$I$76,Climate!$F$76)&gt;Crops!$M$14,"H",IF(IF(GlobalGH,Climate!$H$76,Climate!$E$76)&lt;Crops!$K$14,"C","O")))</f>
        <v>O</v>
      </c>
      <c r="BV16" s="142" t="str">
        <f aca="false">IF(IF(GlobalGH,Climate!$G$77,Climate!$D$77)&lt;=0,"·",IF(IF(GlobalGH,Climate!$I$77,Climate!$F$77)&gt;Crops!$M$14,"H",IF(IF(GlobalGH,Climate!$H$77,Climate!$E$77)&lt;Crops!$K$14,"C","O")))</f>
        <v>O</v>
      </c>
      <c r="BW16" s="142" t="str">
        <f aca="false">IF(IF(GlobalGH,Climate!$G$78,Climate!$D$78)&lt;=0,"·",IF(IF(GlobalGH,Climate!$I$78,Climate!$F$78)&gt;Crops!$M$14,"H",IF(IF(GlobalGH,Climate!$H$78,Climate!$E$78)&lt;Crops!$K$14,"C","O")))</f>
        <v>O</v>
      </c>
      <c r="BX16" s="142" t="str">
        <f aca="false">IF(IF(GlobalGH,Climate!$G$79,Climate!$D$79)&lt;=0,"·",IF(IF(GlobalGH,Climate!$I$79,Climate!$F$79)&gt;Crops!$M$14,"H",IF(IF(GlobalGH,Climate!$H$79,Climate!$E$79)&lt;Crops!$K$14,"C","O")))</f>
        <v>C</v>
      </c>
      <c r="BY16" s="142" t="str">
        <f aca="false">IF(IF(GlobalGH,Climate!$G$80,Climate!$D$80)&lt;=0,"·",IF(IF(GlobalGH,Climate!$I$80,Climate!$F$80)&gt;Crops!$M$14,"H",IF(IF(GlobalGH,Climate!$H$80,Climate!$E$80)&lt;Crops!$K$14,"C","O")))</f>
        <v>O</v>
      </c>
      <c r="BZ16" s="142" t="str">
        <f aca="false">IF(IF(GlobalGH,Climate!$G$81,Climate!$D$81)&lt;=0,"·",IF(IF(GlobalGH,Climate!$I$81,Climate!$F$81)&gt;Crops!$M$14,"H",IF(IF(GlobalGH,Climate!$H$81,Climate!$E$81)&lt;Crops!$K$14,"C","O")))</f>
        <v>C</v>
      </c>
      <c r="CA16" s="142" t="str">
        <f aca="false">IF(IF(GlobalGH,Climate!$G$82,Climate!$D$82)&lt;=0,"·",IF(IF(GlobalGH,Climate!$I$82,Climate!$F$82)&gt;Crops!$M$14,"H",IF(IF(GlobalGH,Climate!$H$82,Climate!$E$82)&lt;Crops!$K$14,"C","O")))</f>
        <v>C</v>
      </c>
      <c r="CB16" s="142" t="str">
        <f aca="false">IF(IF(GlobalGH,Climate!$G$83,Climate!$D$83)&lt;=0,"·",IF(IF(GlobalGH,Climate!$I$83,Climate!$F$83)&gt;Crops!$M$14,"H",IF(IF(GlobalGH,Climate!$H$83,Climate!$E$83)&lt;Crops!$K$14,"C","O")))</f>
        <v>C</v>
      </c>
      <c r="CC16" s="142" t="str">
        <f aca="false">IF(IF(GlobalGH,Climate!$G$84,Climate!$D$84)&lt;=0,"·",IF(IF(GlobalGH,Climate!$I$84,Climate!$F$84)&gt;Crops!$M$14,"H",IF(IF(GlobalGH,Climate!$H$84,Climate!$E$84)&lt;Crops!$K$14,"C","O")))</f>
        <v>C</v>
      </c>
      <c r="CD16" s="142" t="str">
        <f aca="false">IF(IF(GlobalGH,Climate!$G$85,Climate!$D$85)&lt;=0,"·",IF(IF(GlobalGH,Climate!$I$85,Climate!$F$85)&gt;Crops!$M$14,"H",IF(IF(GlobalGH,Climate!$H$85,Climate!$E$85)&lt;Crops!$K$14,"C","O")))</f>
        <v>C</v>
      </c>
      <c r="CE16" s="142" t="str">
        <f aca="false">IF(IF(GlobalGH,Climate!$G$86,Climate!$D$86)&lt;=0,"·",IF(IF(GlobalGH,Climate!$I$86,Climate!$F$86)&gt;Crops!$M$14,"H",IF(IF(GlobalGH,Climate!$H$86,Climate!$E$86)&lt;Crops!$K$14,"C","O")))</f>
        <v>C</v>
      </c>
      <c r="CF16" s="142" t="str">
        <f aca="false">IF(IF(GlobalGH,Climate!$G$87,Climate!$D$87)&lt;=0,"·",IF(IF(GlobalGH,Climate!$I$87,Climate!$F$87)&gt;Crops!$M$14,"H",IF(IF(GlobalGH,Climate!$H$87,Climate!$E$87)&lt;Crops!$K$14,"C","O")))</f>
        <v>C</v>
      </c>
      <c r="CG16" s="142" t="str">
        <f aca="false">IF(IF(GlobalGH,Climate!$G$88,Climate!$D$88)&lt;=0,"·",IF(IF(GlobalGH,Climate!$I$88,Climate!$F$88)&gt;Crops!$M$14,"H",IF(IF(GlobalGH,Climate!$H$88,Climate!$E$88)&lt;Crops!$K$14,"C","O")))</f>
        <v>·</v>
      </c>
      <c r="CH16" s="142" t="str">
        <f aca="false">IF(IF(GlobalGH,Climate!$G$89,Climate!$D$89)&lt;=0,"·",IF(IF(GlobalGH,Climate!$I$89,Climate!$F$89)&gt;Crops!$M$14,"H",IF(IF(GlobalGH,Climate!$H$89,Climate!$E$89)&lt;Crops!$K$14,"C","O")))</f>
        <v>·</v>
      </c>
      <c r="CI16" s="142" t="str">
        <f aca="false">IF(IF(GlobalGH,Climate!$G$90,Climate!$D$90)&lt;=0,"·",IF(IF(GlobalGH,Climate!$I$90,Climate!$F$90)&gt;Crops!$M$14,"H",IF(IF(GlobalGH,Climate!$H$90,Climate!$E$90)&lt;Crops!$K$14,"C","O")))</f>
        <v>·</v>
      </c>
      <c r="CJ16" s="142" t="str">
        <f aca="false">IF(IF(GlobalGH,Climate!$G$91,Climate!$D$91)&lt;=0,"·",IF(IF(GlobalGH,Climate!$I$91,Climate!$F$91)&gt;Crops!$M$14,"H",IF(IF(GlobalGH,Climate!$H$91,Climate!$E$91)&lt;Crops!$K$14,"C","O")))</f>
        <v>·</v>
      </c>
      <c r="CK16" s="142" t="str">
        <f aca="false">IF(IF(GlobalGH,Climate!$G$92,Climate!$D$92)&lt;=0,"·",IF(IF(GlobalGH,Climate!$I$92,Climate!$F$92)&gt;Crops!$M$14,"H",IF(IF(GlobalGH,Climate!$H$92,Climate!$E$92)&lt;Crops!$K$14,"C","O")))</f>
        <v>·</v>
      </c>
      <c r="CL16" s="142" t="str">
        <f aca="false">IF(IF(GlobalGH,Climate!$G$93,Climate!$D$93)&lt;=0,"·",IF(IF(GlobalGH,Climate!$I$93,Climate!$F$93)&gt;Crops!$M$14,"H",IF(IF(GlobalGH,Climate!$H$93,Climate!$E$93)&lt;Crops!$K$14,"C","O")))</f>
        <v>·</v>
      </c>
      <c r="CM16" s="142" t="str">
        <f aca="false">IF(IF(GlobalGH,Climate!$G$94,Climate!$D$94)&lt;=0,"·",IF(IF(GlobalGH,Climate!$I$94,Climate!$F$94)&gt;Crops!$M$14,"H",IF(IF(GlobalGH,Climate!$H$94,Climate!$E$94)&lt;Crops!$K$14,"C","O")))</f>
        <v>·</v>
      </c>
      <c r="CN16" s="142" t="str">
        <f aca="false">IF(IF(GlobalGH,Climate!$G$95,Climate!$D$95)&lt;=0,"·",IF(IF(GlobalGH,Climate!$I$95,Climate!$F$95)&gt;Crops!$M$14,"H",IF(IF(GlobalGH,Climate!$H$95,Climate!$E$95)&lt;Crops!$K$14,"C","O")))</f>
        <v>·</v>
      </c>
      <c r="CO16" s="142" t="str">
        <f aca="false">IF(IF(GlobalGH,Climate!$G$96,Climate!$D$96)&lt;=0,"·",IF(IF(GlobalGH,Climate!$I$96,Climate!$F$96)&gt;Crops!$M$14,"H",IF(IF(GlobalGH,Climate!$H$96,Climate!$E$96)&lt;Crops!$K$14,"C","O")))</f>
        <v>·</v>
      </c>
      <c r="CP16" s="142" t="str">
        <f aca="false">IF(IF(GlobalGH,Climate!$G$97,Climate!$D$97)&lt;=0,"·",IF(IF(GlobalGH,Climate!$I$97,Climate!$F$97)&gt;Crops!$M$14,"H",IF(IF(GlobalGH,Climate!$H$97,Climate!$E$97)&lt;Crops!$K$14,"C","O")))</f>
        <v>·</v>
      </c>
      <c r="CQ16" s="142" t="str">
        <f aca="false">IF(IF(GlobalGH,Climate!$G$98,Climate!$D$98)&lt;=0,"·",IF(IF(GlobalGH,Climate!$I$98,Climate!$F$98)&gt;Crops!$M$14,"H",IF(IF(GlobalGH,Climate!$H$98,Climate!$E$98)&lt;Crops!$K$14,"C","O")))</f>
        <v>·</v>
      </c>
      <c r="CR16" s="142" t="str">
        <f aca="false">IF(IF(GlobalGH,Climate!$G$99,Climate!$D$99)&lt;=0,"·",IF(IF(GlobalGH,Climate!$I$99,Climate!$F$99)&gt;Crops!$M$14,"H",IF(IF(GlobalGH,Climate!$H$99,Climate!$E$99)&lt;Crops!$K$14,"C","O")))</f>
        <v>·</v>
      </c>
      <c r="CS16" s="142" t="str">
        <f aca="false">IF(IF(GlobalGH,Climate!$G$100,Climate!$D$100)&lt;=0,"·",IF(IF(GlobalGH,Climate!$I$100,Climate!$F$100)&gt;Crops!$M$14,"H",IF(IF(GlobalGH,Climate!$H$100,Climate!$E$100)&lt;Crops!$K$14,"C","O")))</f>
        <v>·</v>
      </c>
      <c r="CT16" s="142" t="str">
        <f aca="false">IF(IF(GlobalGH,Climate!$G$101,Climate!$D$101)&lt;=0,"·",IF(IF(GlobalGH,Climate!$I$101,Climate!$F$101)&gt;Crops!$M$14,"H",IF(IF(GlobalGH,Climate!$H$101,Climate!$E$101)&lt;Crops!$K$14,"C","O")))</f>
        <v>·</v>
      </c>
      <c r="CU16" s="142" t="str">
        <f aca="false">IF(IF(GlobalGH,Climate!$G$102,Climate!$D$102)&lt;=0,"·",IF(IF(GlobalGH,Climate!$I$102,Climate!$F$102)&gt;Crops!$M$14,"H",IF(IF(GlobalGH,Climate!$H$102,Climate!$E$102)&lt;Crops!$K$14,"C","O")))</f>
        <v>·</v>
      </c>
      <c r="CV16" s="142" t="str">
        <f aca="false">IF(IF(GlobalGH,Climate!$G$103,Climate!$D$103)&lt;=0,"·",IF(IF(GlobalGH,Climate!$I$103,Climate!$F$103)&gt;Crops!$M$14,"H",IF(IF(GlobalGH,Climate!$H$103,Climate!$E$103)&lt;Crops!$K$14,"C","O")))</f>
        <v>·</v>
      </c>
      <c r="CW16" s="142" t="str">
        <f aca="false">IF(IF(GlobalGH,Climate!$G$104,Climate!$D$104)&lt;=0,"·",IF(IF(GlobalGH,Climate!$I$104,Climate!$F$104)&gt;Crops!$M$14,"H",IF(IF(GlobalGH,Climate!$H$104,Climate!$E$104)&lt;Crops!$K$14,"C","O")))</f>
        <v>·</v>
      </c>
      <c r="CX16" s="142" t="str">
        <f aca="false">IF(IF(GlobalGH,Climate!$G$105,Climate!$D$105)&lt;=0,"·",IF(IF(GlobalGH,Climate!$I$105,Climate!$F$105)&gt;Crops!$M$14,"H",IF(IF(GlobalGH,Climate!$H$105,Climate!$E$105)&lt;Crops!$K$14,"C","O")))</f>
        <v>·</v>
      </c>
      <c r="CY16" s="142" t="str">
        <f aca="false">IF(IF(GlobalGH,Climate!$G$106,Climate!$D$106)&lt;=0,"·",IF(IF(GlobalGH,Climate!$I$106,Climate!$F$106)&gt;Crops!$M$14,"H",IF(IF(GlobalGH,Climate!$H$106,Climate!$E$106)&lt;Crops!$K$14,"C","O")))</f>
        <v>·</v>
      </c>
      <c r="CZ16" s="142" t="str">
        <f aca="false">IF(IF(GlobalGH,Climate!$G$107,Climate!$D$107)&lt;=0,"·",IF(IF(GlobalGH,Climate!$I$107,Climate!$F$107)&gt;Crops!$M$14,"H",IF(IF(GlobalGH,Climate!$H$107,Climate!$E$107)&lt;Crops!$K$14,"C","O")))</f>
        <v>·</v>
      </c>
      <c r="DA16" s="142" t="str">
        <f aca="false">IF(IF(GlobalGH,Climate!$G$108,Climate!$D$108)&lt;=0,"·",IF(IF(GlobalGH,Climate!$I$108,Climate!$F$108)&gt;Crops!$M$14,"H",IF(IF(GlobalGH,Climate!$H$108,Climate!$E$108)&lt;Crops!$K$14,"C","O")))</f>
        <v>·</v>
      </c>
      <c r="DB16" s="142" t="str">
        <f aca="false">IF(IF(GlobalGH,Climate!$G$109,Climate!$D$109)&lt;=0,"·",IF(IF(GlobalGH,Climate!$I$109,Climate!$F$109)&gt;Crops!$M$14,"H",IF(IF(GlobalGH,Climate!$H$109,Climate!$E$109)&lt;Crops!$K$14,"C","O")))</f>
        <v>·</v>
      </c>
      <c r="DC16" s="142" t="str">
        <f aca="false">IF(IF(GlobalGH,Climate!$G$110,Climate!$D$110)&lt;=0,"·",IF(IF(GlobalGH,Climate!$I$110,Climate!$F$110)&gt;Crops!$M$14,"H",IF(IF(GlobalGH,Climate!$H$110,Climate!$E$110)&lt;Crops!$K$14,"C","O")))</f>
        <v>·</v>
      </c>
      <c r="DD16" s="142" t="str">
        <f aca="false">IF(IF(GlobalGH,Climate!$G$111,Climate!$D$111)&lt;=0,"·",IF(IF(GlobalGH,Climate!$I$111,Climate!$F$111)&gt;Crops!$M$14,"H",IF(IF(GlobalGH,Climate!$H$111,Climate!$E$111)&lt;Crops!$K$14,"C","O")))</f>
        <v>·</v>
      </c>
      <c r="DE16" s="142" t="str">
        <f aca="false">IF(IF(GlobalGH,Climate!$G$112,Climate!$D$112)&lt;=0,"·",IF(IF(GlobalGH,Climate!$I$112,Climate!$F$112)&gt;Crops!$M$14,"H",IF(IF(GlobalGH,Climate!$H$112,Climate!$E$112)&lt;Crops!$K$14,"C","O")))</f>
        <v>·</v>
      </c>
      <c r="DF16" s="143" t="n">
        <f aca="false">COUNTIF(B16:DE16,"O")</f>
        <v>33</v>
      </c>
      <c r="DG16" s="139" t="s">
        <v>421</v>
      </c>
    </row>
    <row r="17" customFormat="false" ht="15" hidden="false" customHeight="true" outlineLevel="0" collapsed="false">
      <c r="A17" s="141" t="str">
        <f aca="false">Crops!$B$15</f>
        <v>Sunflower</v>
      </c>
      <c r="B17" s="142" t="str">
        <f aca="false">IF(IF(GlobalGH,Climate!$G$5,Climate!$D$5)&lt;=0,"·",IF(IF(GlobalGH,Climate!$I$5,Climate!$F$5)&gt;Crops!$M$15,"H",IF(IF(GlobalGH,Climate!$H$5,Climate!$E$5)&lt;Crops!$K$15,"C","O")))</f>
        <v>·</v>
      </c>
      <c r="C17" s="142" t="str">
        <f aca="false">IF(IF(GlobalGH,Climate!$G$6,Climate!$D$6)&lt;=0,"·",IF(IF(GlobalGH,Climate!$I$6,Climate!$F$6)&gt;Crops!$M$15,"H",IF(IF(GlobalGH,Climate!$H$6,Climate!$E$6)&lt;Crops!$K$15,"C","O")))</f>
        <v>·</v>
      </c>
      <c r="D17" s="142" t="str">
        <f aca="false">IF(IF(GlobalGH,Climate!$G$7,Climate!$D$7)&lt;=0,"·",IF(IF(GlobalGH,Climate!$I$7,Climate!$F$7)&gt;Crops!$M$15,"H",IF(IF(GlobalGH,Climate!$H$7,Climate!$E$7)&lt;Crops!$K$15,"C","O")))</f>
        <v>·</v>
      </c>
      <c r="E17" s="142" t="str">
        <f aca="false">IF(IF(GlobalGH,Climate!$G$8,Climate!$D$8)&lt;=0,"·",IF(IF(GlobalGH,Climate!$I$8,Climate!$F$8)&gt;Crops!$M$15,"H",IF(IF(GlobalGH,Climate!$H$8,Climate!$E$8)&lt;Crops!$K$15,"C","O")))</f>
        <v>·</v>
      </c>
      <c r="F17" s="142" t="str">
        <f aca="false">IF(IF(GlobalGH,Climate!$G$9,Climate!$D$9)&lt;=0,"·",IF(IF(GlobalGH,Climate!$I$9,Climate!$F$9)&gt;Crops!$M$15,"H",IF(IF(GlobalGH,Climate!$H$9,Climate!$E$9)&lt;Crops!$K$15,"C","O")))</f>
        <v>·</v>
      </c>
      <c r="G17" s="142" t="str">
        <f aca="false">IF(IF(GlobalGH,Climate!$G$10,Climate!$D$10)&lt;=0,"·",IF(IF(GlobalGH,Climate!$I$10,Climate!$F$10)&gt;Crops!$M$15,"H",IF(IF(GlobalGH,Climate!$H$10,Climate!$E$10)&lt;Crops!$K$15,"C","O")))</f>
        <v>·</v>
      </c>
      <c r="H17" s="142" t="str">
        <f aca="false">IF(IF(GlobalGH,Climate!$G$11,Climate!$D$11)&lt;=0,"·",IF(IF(GlobalGH,Climate!$I$11,Climate!$F$11)&gt;Crops!$M$15,"H",IF(IF(GlobalGH,Climate!$H$11,Climate!$E$11)&lt;Crops!$K$15,"C","O")))</f>
        <v>·</v>
      </c>
      <c r="I17" s="142" t="str">
        <f aca="false">IF(IF(GlobalGH,Climate!$G$12,Climate!$D$12)&lt;=0,"·",IF(IF(GlobalGH,Climate!$I$12,Climate!$F$12)&gt;Crops!$M$15,"H",IF(IF(GlobalGH,Climate!$H$12,Climate!$E$12)&lt;Crops!$K$15,"C","O")))</f>
        <v>·</v>
      </c>
      <c r="J17" s="142" t="str">
        <f aca="false">IF(IF(GlobalGH,Climate!$G$13,Climate!$D$13)&lt;=0,"·",IF(IF(GlobalGH,Climate!$I$13,Climate!$F$13)&gt;Crops!$M$15,"H",IF(IF(GlobalGH,Climate!$H$13,Climate!$E$13)&lt;Crops!$K$15,"C","O")))</f>
        <v>·</v>
      </c>
      <c r="K17" s="142" t="str">
        <f aca="false">IF(IF(GlobalGH,Climate!$G$14,Climate!$D$14)&lt;=0,"·",IF(IF(GlobalGH,Climate!$I$14,Climate!$F$14)&gt;Crops!$M$15,"H",IF(IF(GlobalGH,Climate!$H$14,Climate!$E$14)&lt;Crops!$K$15,"C","O")))</f>
        <v>·</v>
      </c>
      <c r="L17" s="142" t="str">
        <f aca="false">IF(IF(GlobalGH,Climate!$G$15,Climate!$D$15)&lt;=0,"·",IF(IF(GlobalGH,Climate!$I$15,Climate!$F$15)&gt;Crops!$M$15,"H",IF(IF(GlobalGH,Climate!$H$15,Climate!$E$15)&lt;Crops!$K$15,"C","O")))</f>
        <v>·</v>
      </c>
      <c r="M17" s="142" t="str">
        <f aca="false">IF(IF(GlobalGH,Climate!$G$16,Climate!$D$16)&lt;=0,"·",IF(IF(GlobalGH,Climate!$I$16,Climate!$F$16)&gt;Crops!$M$15,"H",IF(IF(GlobalGH,Climate!$H$16,Climate!$E$16)&lt;Crops!$K$15,"C","O")))</f>
        <v>·</v>
      </c>
      <c r="N17" s="142" t="str">
        <f aca="false">IF(IF(GlobalGH,Climate!$G$17,Climate!$D$17)&lt;=0,"·",IF(IF(GlobalGH,Climate!$I$17,Climate!$F$17)&gt;Crops!$M$15,"H",IF(IF(GlobalGH,Climate!$H$17,Climate!$E$17)&lt;Crops!$K$15,"C","O")))</f>
        <v>·</v>
      </c>
      <c r="O17" s="142" t="str">
        <f aca="false">IF(IF(GlobalGH,Climate!$G$18,Climate!$D$18)&lt;=0,"·",IF(IF(GlobalGH,Climate!$I$18,Climate!$F$18)&gt;Crops!$M$15,"H",IF(IF(GlobalGH,Climate!$H$18,Climate!$E$18)&lt;Crops!$K$15,"C","O")))</f>
        <v>·</v>
      </c>
      <c r="P17" s="142" t="str">
        <f aca="false">IF(IF(GlobalGH,Climate!$G$19,Climate!$D$19)&lt;=0,"·",IF(IF(GlobalGH,Climate!$I$19,Climate!$F$19)&gt;Crops!$M$15,"H",IF(IF(GlobalGH,Climate!$H$19,Climate!$E$19)&lt;Crops!$K$15,"C","O")))</f>
        <v>·</v>
      </c>
      <c r="Q17" s="142" t="str">
        <f aca="false">IF(IF(GlobalGH,Climate!$G$20,Climate!$D$20)&lt;=0,"·",IF(IF(GlobalGH,Climate!$I$20,Climate!$F$20)&gt;Crops!$M$15,"H",IF(IF(GlobalGH,Climate!$H$20,Climate!$E$20)&lt;Crops!$K$15,"C","O")))</f>
        <v>·</v>
      </c>
      <c r="R17" s="142" t="str">
        <f aca="false">IF(IF(GlobalGH,Climate!$G$21,Climate!$D$21)&lt;=0,"·",IF(IF(GlobalGH,Climate!$I$21,Climate!$F$21)&gt;Crops!$M$15,"H",IF(IF(GlobalGH,Climate!$H$21,Climate!$E$21)&lt;Crops!$K$15,"C","O")))</f>
        <v>·</v>
      </c>
      <c r="S17" s="142" t="str">
        <f aca="false">IF(IF(GlobalGH,Climate!$G$22,Climate!$D$22)&lt;=0,"·",IF(IF(GlobalGH,Climate!$I$22,Climate!$F$22)&gt;Crops!$M$15,"H",IF(IF(GlobalGH,Climate!$H$22,Climate!$E$22)&lt;Crops!$K$15,"C","O")))</f>
        <v>·</v>
      </c>
      <c r="T17" s="142" t="str">
        <f aca="false">IF(IF(GlobalGH,Climate!$G$23,Climate!$D$23)&lt;=0,"·",IF(IF(GlobalGH,Climate!$I$23,Climate!$F$23)&gt;Crops!$M$15,"H",IF(IF(GlobalGH,Climate!$H$23,Climate!$E$23)&lt;Crops!$K$15,"C","O")))</f>
        <v>·</v>
      </c>
      <c r="U17" s="142" t="str">
        <f aca="false">IF(IF(GlobalGH,Climate!$G$24,Climate!$D$24)&lt;=0,"·",IF(IF(GlobalGH,Climate!$I$24,Climate!$F$24)&gt;Crops!$M$15,"H",IF(IF(GlobalGH,Climate!$H$24,Climate!$E$24)&lt;Crops!$K$15,"C","O")))</f>
        <v>·</v>
      </c>
      <c r="V17" s="142" t="str">
        <f aca="false">IF(IF(GlobalGH,Climate!$G$25,Climate!$D$25)&lt;=0,"·",IF(IF(GlobalGH,Climate!$I$25,Climate!$F$25)&gt;Crops!$M$15,"H",IF(IF(GlobalGH,Climate!$H$25,Climate!$E$25)&lt;Crops!$K$15,"C","O")))</f>
        <v>·</v>
      </c>
      <c r="W17" s="142" t="str">
        <f aca="false">IF(IF(GlobalGH,Climate!$G$26,Climate!$D$26)&lt;=0,"·",IF(IF(GlobalGH,Climate!$I$26,Climate!$F$26)&gt;Crops!$M$15,"H",IF(IF(GlobalGH,Climate!$H$26,Climate!$E$26)&lt;Crops!$K$15,"C","O")))</f>
        <v>·</v>
      </c>
      <c r="X17" s="142" t="str">
        <f aca="false">IF(IF(GlobalGH,Climate!$G$27,Climate!$D$27)&lt;=0,"·",IF(IF(GlobalGH,Climate!$I$27,Climate!$F$27)&gt;Crops!$M$15,"H",IF(IF(GlobalGH,Climate!$H$27,Climate!$E$27)&lt;Crops!$K$15,"C","O")))</f>
        <v>·</v>
      </c>
      <c r="Y17" s="142" t="str">
        <f aca="false">IF(IF(GlobalGH,Climate!$G$28,Climate!$D$28)&lt;=0,"·",IF(IF(GlobalGH,Climate!$I$28,Climate!$F$28)&gt;Crops!$M$15,"H",IF(IF(GlobalGH,Climate!$H$28,Climate!$E$28)&lt;Crops!$K$15,"C","O")))</f>
        <v>·</v>
      </c>
      <c r="Z17" s="142" t="str">
        <f aca="false">IF(IF(GlobalGH,Climate!$G$29,Climate!$D$29)&lt;=0,"·",IF(IF(GlobalGH,Climate!$I$29,Climate!$F$29)&gt;Crops!$M$15,"H",IF(IF(GlobalGH,Climate!$H$29,Climate!$E$29)&lt;Crops!$K$15,"C","O")))</f>
        <v>·</v>
      </c>
      <c r="AA17" s="142" t="str">
        <f aca="false">IF(IF(GlobalGH,Climate!$G$30,Climate!$D$30)&lt;=0,"·",IF(IF(GlobalGH,Climate!$I$30,Climate!$F$30)&gt;Crops!$M$15,"H",IF(IF(GlobalGH,Climate!$H$30,Climate!$E$30)&lt;Crops!$K$15,"C","O")))</f>
        <v>·</v>
      </c>
      <c r="AB17" s="142" t="str">
        <f aca="false">IF(IF(GlobalGH,Climate!$G$31,Climate!$D$31)&lt;=0,"·",IF(IF(GlobalGH,Climate!$I$31,Climate!$F$31)&gt;Crops!$M$15,"H",IF(IF(GlobalGH,Climate!$H$31,Climate!$E$31)&lt;Crops!$K$15,"C","O")))</f>
        <v>·</v>
      </c>
      <c r="AC17" s="142" t="str">
        <f aca="false">IF(IF(GlobalGH,Climate!$G$32,Climate!$D$32)&lt;=0,"·",IF(IF(GlobalGH,Climate!$I$32,Climate!$F$32)&gt;Crops!$M$15,"H",IF(IF(GlobalGH,Climate!$H$32,Climate!$E$32)&lt;Crops!$K$15,"C","O")))</f>
        <v>·</v>
      </c>
      <c r="AD17" s="142" t="str">
        <f aca="false">IF(IF(GlobalGH,Climate!$G$33,Climate!$D$33)&lt;=0,"·",IF(IF(GlobalGH,Climate!$I$33,Climate!$F$33)&gt;Crops!$M$15,"H",IF(IF(GlobalGH,Climate!$H$33,Climate!$E$33)&lt;Crops!$K$15,"C","O")))</f>
        <v>·</v>
      </c>
      <c r="AE17" s="142" t="str">
        <f aca="false">IF(IF(GlobalGH,Climate!$G$34,Climate!$D$34)&lt;=0,"·",IF(IF(GlobalGH,Climate!$I$34,Climate!$F$34)&gt;Crops!$M$15,"H",IF(IF(GlobalGH,Climate!$H$34,Climate!$E$34)&lt;Crops!$K$15,"C","O")))</f>
        <v>·</v>
      </c>
      <c r="AF17" s="142" t="str">
        <f aca="false">IF(IF(GlobalGH,Climate!$G$35,Climate!$D$35)&lt;=0,"·",IF(IF(GlobalGH,Climate!$I$35,Climate!$F$35)&gt;Crops!$M$15,"H",IF(IF(GlobalGH,Climate!$H$35,Climate!$E$35)&lt;Crops!$K$15,"C","O")))</f>
        <v>·</v>
      </c>
      <c r="AG17" s="142" t="str">
        <f aca="false">IF(IF(GlobalGH,Climate!$G$36,Climate!$D$36)&lt;=0,"·",IF(IF(GlobalGH,Climate!$I$36,Climate!$F$36)&gt;Crops!$M$15,"H",IF(IF(GlobalGH,Climate!$H$36,Climate!$E$36)&lt;Crops!$K$15,"C","O")))</f>
        <v>·</v>
      </c>
      <c r="AH17" s="142" t="str">
        <f aca="false">IF(IF(GlobalGH,Climate!$G$37,Climate!$D$37)&lt;=0,"·",IF(IF(GlobalGH,Climate!$I$37,Climate!$F$37)&gt;Crops!$M$15,"H",IF(IF(GlobalGH,Climate!$H$37,Climate!$E$37)&lt;Crops!$K$15,"C","O")))</f>
        <v>·</v>
      </c>
      <c r="AI17" s="142" t="str">
        <f aca="false">IF(IF(GlobalGH,Climate!$G$38,Climate!$D$38)&lt;=0,"·",IF(IF(GlobalGH,Climate!$I$38,Climate!$F$38)&gt;Crops!$M$15,"H",IF(IF(GlobalGH,Climate!$H$38,Climate!$E$38)&lt;Crops!$K$15,"C","O")))</f>
        <v>C</v>
      </c>
      <c r="AJ17" s="142" t="str">
        <f aca="false">IF(IF(GlobalGH,Climate!$G$39,Climate!$D$39)&lt;=0,"·",IF(IF(GlobalGH,Climate!$I$39,Climate!$F$39)&gt;Crops!$M$15,"H",IF(IF(GlobalGH,Climate!$H$39,Climate!$E$39)&lt;Crops!$K$15,"C","O")))</f>
        <v>C</v>
      </c>
      <c r="AK17" s="142" t="str">
        <f aca="false">IF(IF(GlobalGH,Climate!$G$40,Climate!$D$40)&lt;=0,"·",IF(IF(GlobalGH,Climate!$I$40,Climate!$F$40)&gt;Crops!$M$15,"H",IF(IF(GlobalGH,Climate!$H$40,Climate!$E$40)&lt;Crops!$K$15,"C","O")))</f>
        <v>C</v>
      </c>
      <c r="AL17" s="142" t="str">
        <f aca="false">IF(IF(GlobalGH,Climate!$G$41,Climate!$D$41)&lt;=0,"·",IF(IF(GlobalGH,Climate!$I$41,Climate!$F$41)&gt;Crops!$M$15,"H",IF(IF(GlobalGH,Climate!$H$41,Climate!$E$41)&lt;Crops!$K$15,"C","O")))</f>
        <v>C</v>
      </c>
      <c r="AM17" s="142" t="str">
        <f aca="false">IF(IF(GlobalGH,Climate!$G$42,Climate!$D$42)&lt;=0,"·",IF(IF(GlobalGH,Climate!$I$42,Climate!$F$42)&gt;Crops!$M$15,"H",IF(IF(GlobalGH,Climate!$H$42,Climate!$E$42)&lt;Crops!$K$15,"C","O")))</f>
        <v>C</v>
      </c>
      <c r="AN17" s="142" t="str">
        <f aca="false">IF(IF(GlobalGH,Climate!$G$43,Climate!$D$43)&lt;=0,"·",IF(IF(GlobalGH,Climate!$I$43,Climate!$F$43)&gt;Crops!$M$15,"H",IF(IF(GlobalGH,Climate!$H$43,Climate!$E$43)&lt;Crops!$K$15,"C","O")))</f>
        <v>C</v>
      </c>
      <c r="AO17" s="142" t="str">
        <f aca="false">IF(IF(GlobalGH,Climate!$G$44,Climate!$D$44)&lt;=0,"·",IF(IF(GlobalGH,Climate!$I$44,Climate!$F$44)&gt;Crops!$M$15,"H",IF(IF(GlobalGH,Climate!$H$44,Climate!$E$44)&lt;Crops!$K$15,"C","O")))</f>
        <v>C</v>
      </c>
      <c r="AP17" s="142" t="str">
        <f aca="false">IF(IF(GlobalGH,Climate!$G$45,Climate!$D$45)&lt;=0,"·",IF(IF(GlobalGH,Climate!$I$45,Climate!$F$45)&gt;Crops!$M$15,"H",IF(IF(GlobalGH,Climate!$H$45,Climate!$E$45)&lt;Crops!$K$15,"C","O")))</f>
        <v>C</v>
      </c>
      <c r="AQ17" s="142" t="str">
        <f aca="false">IF(IF(GlobalGH,Climate!$G$46,Climate!$D$46)&lt;=0,"·",IF(IF(GlobalGH,Climate!$I$46,Climate!$F$46)&gt;Crops!$M$15,"H",IF(IF(GlobalGH,Climate!$H$46,Climate!$E$46)&lt;Crops!$K$15,"C","O")))</f>
        <v>C</v>
      </c>
      <c r="AR17" s="142" t="str">
        <f aca="false">IF(IF(GlobalGH,Climate!$G$47,Climate!$D$47)&lt;=0,"·",IF(IF(GlobalGH,Climate!$I$47,Climate!$F$47)&gt;Crops!$M$15,"H",IF(IF(GlobalGH,Climate!$H$47,Climate!$E$47)&lt;Crops!$K$15,"C","O")))</f>
        <v>O</v>
      </c>
      <c r="AS17" s="142" t="str">
        <f aca="false">IF(IF(GlobalGH,Climate!$G$48,Climate!$D$48)&lt;=0,"·",IF(IF(GlobalGH,Climate!$I$48,Climate!$F$48)&gt;Crops!$M$15,"H",IF(IF(GlobalGH,Climate!$H$48,Climate!$E$48)&lt;Crops!$K$15,"C","O")))</f>
        <v>O</v>
      </c>
      <c r="AT17" s="142" t="str">
        <f aca="false">IF(IF(GlobalGH,Climate!$G$49,Climate!$D$49)&lt;=0,"·",IF(IF(GlobalGH,Climate!$I$49,Climate!$F$49)&gt;Crops!$M$15,"H",IF(IF(GlobalGH,Climate!$H$49,Climate!$E$49)&lt;Crops!$K$15,"C","O")))</f>
        <v>O</v>
      </c>
      <c r="AU17" s="142" t="str">
        <f aca="false">IF(IF(GlobalGH,Climate!$G$50,Climate!$D$50)&lt;=0,"·",IF(IF(GlobalGH,Climate!$I$50,Climate!$F$50)&gt;Crops!$M$15,"H",IF(IF(GlobalGH,Climate!$H$50,Climate!$E$50)&lt;Crops!$K$15,"C","O")))</f>
        <v>O</v>
      </c>
      <c r="AV17" s="142" t="str">
        <f aca="false">IF(IF(GlobalGH,Climate!$G$51,Climate!$D$51)&lt;=0,"·",IF(IF(GlobalGH,Climate!$I$51,Climate!$F$51)&gt;Crops!$M$15,"H",IF(IF(GlobalGH,Climate!$H$51,Climate!$E$51)&lt;Crops!$K$15,"C","O")))</f>
        <v>O</v>
      </c>
      <c r="AW17" s="142" t="str">
        <f aca="false">IF(IF(GlobalGH,Climate!$G$52,Climate!$D$52)&lt;=0,"·",IF(IF(GlobalGH,Climate!$I$52,Climate!$F$52)&gt;Crops!$M$15,"H",IF(IF(GlobalGH,Climate!$H$52,Climate!$E$52)&lt;Crops!$K$15,"C","O")))</f>
        <v>O</v>
      </c>
      <c r="AX17" s="142" t="str">
        <f aca="false">IF(IF(GlobalGH,Climate!$G$53,Climate!$D$53)&lt;=0,"·",IF(IF(GlobalGH,Climate!$I$53,Climate!$F$53)&gt;Crops!$M$15,"H",IF(IF(GlobalGH,Climate!$H$53,Climate!$E$53)&lt;Crops!$K$15,"C","O")))</f>
        <v>O</v>
      </c>
      <c r="AY17" s="142" t="str">
        <f aca="false">IF(IF(GlobalGH,Climate!$G$54,Climate!$D$54)&lt;=0,"·",IF(IF(GlobalGH,Climate!$I$54,Climate!$F$54)&gt;Crops!$M$15,"H",IF(IF(GlobalGH,Climate!$H$54,Climate!$E$54)&lt;Crops!$K$15,"C","O")))</f>
        <v>O</v>
      </c>
      <c r="AZ17" s="142" t="str">
        <f aca="false">IF(IF(GlobalGH,Climate!$G$55,Climate!$D$55)&lt;=0,"·",IF(IF(GlobalGH,Climate!$I$55,Climate!$F$55)&gt;Crops!$M$15,"H",IF(IF(GlobalGH,Climate!$H$55,Climate!$E$55)&lt;Crops!$K$15,"C","O")))</f>
        <v>O</v>
      </c>
      <c r="BA17" s="142" t="str">
        <f aca="false">IF(IF(GlobalGH,Climate!$G$56,Climate!$D$56)&lt;=0,"·",IF(IF(GlobalGH,Climate!$I$56,Climate!$F$56)&gt;Crops!$M$15,"H",IF(IF(GlobalGH,Climate!$H$56,Climate!$E$56)&lt;Crops!$K$15,"C","O")))</f>
        <v>O</v>
      </c>
      <c r="BB17" s="142" t="str">
        <f aca="false">IF(IF(GlobalGH,Climate!$G$57,Climate!$D$57)&lt;=0,"·",IF(IF(GlobalGH,Climate!$I$57,Climate!$F$57)&gt;Crops!$M$15,"H",IF(IF(GlobalGH,Climate!$H$57,Climate!$E$57)&lt;Crops!$K$15,"C","O")))</f>
        <v>O</v>
      </c>
      <c r="BC17" s="142" t="str">
        <f aca="false">IF(IF(GlobalGH,Climate!$G$58,Climate!$D$58)&lt;=0,"·",IF(IF(GlobalGH,Climate!$I$58,Climate!$F$58)&gt;Crops!$M$15,"H",IF(IF(GlobalGH,Climate!$H$58,Climate!$E$58)&lt;Crops!$K$15,"C","O")))</f>
        <v>O</v>
      </c>
      <c r="BD17" s="142" t="str">
        <f aca="false">IF(IF(GlobalGH,Climate!$G$59,Climate!$D$59)&lt;=0,"·",IF(IF(GlobalGH,Climate!$I$59,Climate!$F$59)&gt;Crops!$M$15,"H",IF(IF(GlobalGH,Climate!$H$59,Climate!$E$59)&lt;Crops!$K$15,"C","O")))</f>
        <v>O</v>
      </c>
      <c r="BE17" s="142" t="str">
        <f aca="false">IF(IF(GlobalGH,Climate!$G$60,Climate!$D$60)&lt;=0,"·",IF(IF(GlobalGH,Climate!$I$60,Climate!$F$60)&gt;Crops!$M$15,"H",IF(IF(GlobalGH,Climate!$H$60,Climate!$E$60)&lt;Crops!$K$15,"C","O")))</f>
        <v>O</v>
      </c>
      <c r="BF17" s="142" t="str">
        <f aca="false">IF(IF(GlobalGH,Climate!$G$61,Climate!$D$61)&lt;=0,"·",IF(IF(GlobalGH,Climate!$I$61,Climate!$F$61)&gt;Crops!$M$15,"H",IF(IF(GlobalGH,Climate!$H$61,Climate!$E$61)&lt;Crops!$K$15,"C","O")))</f>
        <v>O</v>
      </c>
      <c r="BG17" s="142" t="str">
        <f aca="false">IF(IF(GlobalGH,Climate!$G$62,Climate!$D$62)&lt;=0,"·",IF(IF(GlobalGH,Climate!$I$62,Climate!$F$62)&gt;Crops!$M$15,"H",IF(IF(GlobalGH,Climate!$H$62,Climate!$E$62)&lt;Crops!$K$15,"C","O")))</f>
        <v>O</v>
      </c>
      <c r="BH17" s="142" t="str">
        <f aca="false">IF(IF(GlobalGH,Climate!$G$63,Climate!$D$63)&lt;=0,"·",IF(IF(GlobalGH,Climate!$I$63,Climate!$F$63)&gt;Crops!$M$15,"H",IF(IF(GlobalGH,Climate!$H$63,Climate!$E$63)&lt;Crops!$K$15,"C","O")))</f>
        <v>O</v>
      </c>
      <c r="BI17" s="142" t="str">
        <f aca="false">IF(IF(GlobalGH,Climate!$G$64,Climate!$D$64)&lt;=0,"·",IF(IF(GlobalGH,Climate!$I$64,Climate!$F$64)&gt;Crops!$M$15,"H",IF(IF(GlobalGH,Climate!$H$64,Climate!$E$64)&lt;Crops!$K$15,"C","O")))</f>
        <v>O</v>
      </c>
      <c r="BJ17" s="142" t="str">
        <f aca="false">IF(IF(GlobalGH,Climate!$G$65,Climate!$D$65)&lt;=0,"·",IF(IF(GlobalGH,Climate!$I$65,Climate!$F$65)&gt;Crops!$M$15,"H",IF(IF(GlobalGH,Climate!$H$65,Climate!$E$65)&lt;Crops!$K$15,"C","O")))</f>
        <v>O</v>
      </c>
      <c r="BK17" s="142" t="str">
        <f aca="false">IF(IF(GlobalGH,Climate!$G$66,Climate!$D$66)&lt;=0,"·",IF(IF(GlobalGH,Climate!$I$66,Climate!$F$66)&gt;Crops!$M$15,"H",IF(IF(GlobalGH,Climate!$H$66,Climate!$E$66)&lt;Crops!$K$15,"C","O")))</f>
        <v>O</v>
      </c>
      <c r="BL17" s="142" t="str">
        <f aca="false">IF(IF(GlobalGH,Climate!$G$67,Climate!$D$67)&lt;=0,"·",IF(IF(GlobalGH,Climate!$I$67,Climate!$F$67)&gt;Crops!$M$15,"H",IF(IF(GlobalGH,Climate!$H$67,Climate!$E$67)&lt;Crops!$K$15,"C","O")))</f>
        <v>O</v>
      </c>
      <c r="BM17" s="142" t="str">
        <f aca="false">IF(IF(GlobalGH,Climate!$G$68,Climate!$D$68)&lt;=0,"·",IF(IF(GlobalGH,Climate!$I$68,Climate!$F$68)&gt;Crops!$M$15,"H",IF(IF(GlobalGH,Climate!$H$68,Climate!$E$68)&lt;Crops!$K$15,"C","O")))</f>
        <v>O</v>
      </c>
      <c r="BN17" s="142" t="str">
        <f aca="false">IF(IF(GlobalGH,Climate!$G$69,Climate!$D$69)&lt;=0,"·",IF(IF(GlobalGH,Climate!$I$69,Climate!$F$69)&gt;Crops!$M$15,"H",IF(IF(GlobalGH,Climate!$H$69,Climate!$E$69)&lt;Crops!$K$15,"C","O")))</f>
        <v>O</v>
      </c>
      <c r="BO17" s="142" t="str">
        <f aca="false">IF(IF(GlobalGH,Climate!$G$70,Climate!$D$70)&lt;=0,"·",IF(IF(GlobalGH,Climate!$I$70,Climate!$F$70)&gt;Crops!$M$15,"H",IF(IF(GlobalGH,Climate!$H$70,Climate!$E$70)&lt;Crops!$K$15,"C","O")))</f>
        <v>O</v>
      </c>
      <c r="BP17" s="142" t="str">
        <f aca="false">IF(IF(GlobalGH,Climate!$G$71,Climate!$D$71)&lt;=0,"·",IF(IF(GlobalGH,Climate!$I$71,Climate!$F$71)&gt;Crops!$M$15,"H",IF(IF(GlobalGH,Climate!$H$71,Climate!$E$71)&lt;Crops!$K$15,"C","O")))</f>
        <v>O</v>
      </c>
      <c r="BQ17" s="142" t="str">
        <f aca="false">IF(IF(GlobalGH,Climate!$G$72,Climate!$D$72)&lt;=0,"·",IF(IF(GlobalGH,Climate!$I$72,Climate!$F$72)&gt;Crops!$M$15,"H",IF(IF(GlobalGH,Climate!$H$72,Climate!$E$72)&lt;Crops!$K$15,"C","O")))</f>
        <v>O</v>
      </c>
      <c r="BR17" s="142" t="str">
        <f aca="false">IF(IF(GlobalGH,Climate!$G$73,Climate!$D$73)&lt;=0,"·",IF(IF(GlobalGH,Climate!$I$73,Climate!$F$73)&gt;Crops!$M$15,"H",IF(IF(GlobalGH,Climate!$H$73,Climate!$E$73)&lt;Crops!$K$15,"C","O")))</f>
        <v>O</v>
      </c>
      <c r="BS17" s="142" t="str">
        <f aca="false">IF(IF(GlobalGH,Climate!$G$74,Climate!$D$74)&lt;=0,"·",IF(IF(GlobalGH,Climate!$I$74,Climate!$F$74)&gt;Crops!$M$15,"H",IF(IF(GlobalGH,Climate!$H$74,Climate!$E$74)&lt;Crops!$K$15,"C","O")))</f>
        <v>O</v>
      </c>
      <c r="BT17" s="142" t="str">
        <f aca="false">IF(IF(GlobalGH,Climate!$G$75,Climate!$D$75)&lt;=0,"·",IF(IF(GlobalGH,Climate!$I$75,Climate!$F$75)&gt;Crops!$M$15,"H",IF(IF(GlobalGH,Climate!$H$75,Climate!$E$75)&lt;Crops!$K$15,"C","O")))</f>
        <v>O</v>
      </c>
      <c r="BU17" s="142" t="str">
        <f aca="false">IF(IF(GlobalGH,Climate!$G$76,Climate!$D$76)&lt;=0,"·",IF(IF(GlobalGH,Climate!$I$76,Climate!$F$76)&gt;Crops!$M$15,"H",IF(IF(GlobalGH,Climate!$H$76,Climate!$E$76)&lt;Crops!$K$15,"C","O")))</f>
        <v>O</v>
      </c>
      <c r="BV17" s="142" t="str">
        <f aca="false">IF(IF(GlobalGH,Climate!$G$77,Climate!$D$77)&lt;=0,"·",IF(IF(GlobalGH,Climate!$I$77,Climate!$F$77)&gt;Crops!$M$15,"H",IF(IF(GlobalGH,Climate!$H$77,Climate!$E$77)&lt;Crops!$K$15,"C","O")))</f>
        <v>O</v>
      </c>
      <c r="BW17" s="142" t="str">
        <f aca="false">IF(IF(GlobalGH,Climate!$G$78,Climate!$D$78)&lt;=0,"·",IF(IF(GlobalGH,Climate!$I$78,Climate!$F$78)&gt;Crops!$M$15,"H",IF(IF(GlobalGH,Climate!$H$78,Climate!$E$78)&lt;Crops!$K$15,"C","O")))</f>
        <v>O</v>
      </c>
      <c r="BX17" s="142" t="str">
        <f aca="false">IF(IF(GlobalGH,Climate!$G$79,Climate!$D$79)&lt;=0,"·",IF(IF(GlobalGH,Climate!$I$79,Climate!$F$79)&gt;Crops!$M$15,"H",IF(IF(GlobalGH,Climate!$H$79,Climate!$E$79)&lt;Crops!$K$15,"C","O")))</f>
        <v>C</v>
      </c>
      <c r="BY17" s="142" t="str">
        <f aca="false">IF(IF(GlobalGH,Climate!$G$80,Climate!$D$80)&lt;=0,"·",IF(IF(GlobalGH,Climate!$I$80,Climate!$F$80)&gt;Crops!$M$15,"H",IF(IF(GlobalGH,Climate!$H$80,Climate!$E$80)&lt;Crops!$K$15,"C","O")))</f>
        <v>O</v>
      </c>
      <c r="BZ17" s="142" t="str">
        <f aca="false">IF(IF(GlobalGH,Climate!$G$81,Climate!$D$81)&lt;=0,"·",IF(IF(GlobalGH,Climate!$I$81,Climate!$F$81)&gt;Crops!$M$15,"H",IF(IF(GlobalGH,Climate!$H$81,Climate!$E$81)&lt;Crops!$K$15,"C","O")))</f>
        <v>C</v>
      </c>
      <c r="CA17" s="142" t="str">
        <f aca="false">IF(IF(GlobalGH,Climate!$G$82,Climate!$D$82)&lt;=0,"·",IF(IF(GlobalGH,Climate!$I$82,Climate!$F$82)&gt;Crops!$M$15,"H",IF(IF(GlobalGH,Climate!$H$82,Climate!$E$82)&lt;Crops!$K$15,"C","O")))</f>
        <v>C</v>
      </c>
      <c r="CB17" s="142" t="str">
        <f aca="false">IF(IF(GlobalGH,Climate!$G$83,Climate!$D$83)&lt;=0,"·",IF(IF(GlobalGH,Climate!$I$83,Climate!$F$83)&gt;Crops!$M$15,"H",IF(IF(GlobalGH,Climate!$H$83,Climate!$E$83)&lt;Crops!$K$15,"C","O")))</f>
        <v>C</v>
      </c>
      <c r="CC17" s="142" t="str">
        <f aca="false">IF(IF(GlobalGH,Climate!$G$84,Climate!$D$84)&lt;=0,"·",IF(IF(GlobalGH,Climate!$I$84,Climate!$F$84)&gt;Crops!$M$15,"H",IF(IF(GlobalGH,Climate!$H$84,Climate!$E$84)&lt;Crops!$K$15,"C","O")))</f>
        <v>C</v>
      </c>
      <c r="CD17" s="142" t="str">
        <f aca="false">IF(IF(GlobalGH,Climate!$G$85,Climate!$D$85)&lt;=0,"·",IF(IF(GlobalGH,Climate!$I$85,Climate!$F$85)&gt;Crops!$M$15,"H",IF(IF(GlobalGH,Climate!$H$85,Climate!$E$85)&lt;Crops!$K$15,"C","O")))</f>
        <v>C</v>
      </c>
      <c r="CE17" s="142" t="str">
        <f aca="false">IF(IF(GlobalGH,Climate!$G$86,Climate!$D$86)&lt;=0,"·",IF(IF(GlobalGH,Climate!$I$86,Climate!$F$86)&gt;Crops!$M$15,"H",IF(IF(GlobalGH,Climate!$H$86,Climate!$E$86)&lt;Crops!$K$15,"C","O")))</f>
        <v>C</v>
      </c>
      <c r="CF17" s="142" t="str">
        <f aca="false">IF(IF(GlobalGH,Climate!$G$87,Climate!$D$87)&lt;=0,"·",IF(IF(GlobalGH,Climate!$I$87,Climate!$F$87)&gt;Crops!$M$15,"H",IF(IF(GlobalGH,Climate!$H$87,Climate!$E$87)&lt;Crops!$K$15,"C","O")))</f>
        <v>C</v>
      </c>
      <c r="CG17" s="142" t="str">
        <f aca="false">IF(IF(GlobalGH,Climate!$G$88,Climate!$D$88)&lt;=0,"·",IF(IF(GlobalGH,Climate!$I$88,Climate!$F$88)&gt;Crops!$M$15,"H",IF(IF(GlobalGH,Climate!$H$88,Climate!$E$88)&lt;Crops!$K$15,"C","O")))</f>
        <v>·</v>
      </c>
      <c r="CH17" s="142" t="str">
        <f aca="false">IF(IF(GlobalGH,Climate!$G$89,Climate!$D$89)&lt;=0,"·",IF(IF(GlobalGH,Climate!$I$89,Climate!$F$89)&gt;Crops!$M$15,"H",IF(IF(GlobalGH,Climate!$H$89,Climate!$E$89)&lt;Crops!$K$15,"C","O")))</f>
        <v>·</v>
      </c>
      <c r="CI17" s="142" t="str">
        <f aca="false">IF(IF(GlobalGH,Climate!$G$90,Climate!$D$90)&lt;=0,"·",IF(IF(GlobalGH,Climate!$I$90,Climate!$F$90)&gt;Crops!$M$15,"H",IF(IF(GlobalGH,Climate!$H$90,Climate!$E$90)&lt;Crops!$K$15,"C","O")))</f>
        <v>·</v>
      </c>
      <c r="CJ17" s="142" t="str">
        <f aca="false">IF(IF(GlobalGH,Climate!$G$91,Climate!$D$91)&lt;=0,"·",IF(IF(GlobalGH,Climate!$I$91,Climate!$F$91)&gt;Crops!$M$15,"H",IF(IF(GlobalGH,Climate!$H$91,Climate!$E$91)&lt;Crops!$K$15,"C","O")))</f>
        <v>·</v>
      </c>
      <c r="CK17" s="142" t="str">
        <f aca="false">IF(IF(GlobalGH,Climate!$G$92,Climate!$D$92)&lt;=0,"·",IF(IF(GlobalGH,Climate!$I$92,Climate!$F$92)&gt;Crops!$M$15,"H",IF(IF(GlobalGH,Climate!$H$92,Climate!$E$92)&lt;Crops!$K$15,"C","O")))</f>
        <v>·</v>
      </c>
      <c r="CL17" s="142" t="str">
        <f aca="false">IF(IF(GlobalGH,Climate!$G$93,Climate!$D$93)&lt;=0,"·",IF(IF(GlobalGH,Climate!$I$93,Climate!$F$93)&gt;Crops!$M$15,"H",IF(IF(GlobalGH,Climate!$H$93,Climate!$E$93)&lt;Crops!$K$15,"C","O")))</f>
        <v>·</v>
      </c>
      <c r="CM17" s="142" t="str">
        <f aca="false">IF(IF(GlobalGH,Climate!$G$94,Climate!$D$94)&lt;=0,"·",IF(IF(GlobalGH,Climate!$I$94,Climate!$F$94)&gt;Crops!$M$15,"H",IF(IF(GlobalGH,Climate!$H$94,Climate!$E$94)&lt;Crops!$K$15,"C","O")))</f>
        <v>·</v>
      </c>
      <c r="CN17" s="142" t="str">
        <f aca="false">IF(IF(GlobalGH,Climate!$G$95,Climate!$D$95)&lt;=0,"·",IF(IF(GlobalGH,Climate!$I$95,Climate!$F$95)&gt;Crops!$M$15,"H",IF(IF(GlobalGH,Climate!$H$95,Climate!$E$95)&lt;Crops!$K$15,"C","O")))</f>
        <v>·</v>
      </c>
      <c r="CO17" s="142" t="str">
        <f aca="false">IF(IF(GlobalGH,Climate!$G$96,Climate!$D$96)&lt;=0,"·",IF(IF(GlobalGH,Climate!$I$96,Climate!$F$96)&gt;Crops!$M$15,"H",IF(IF(GlobalGH,Climate!$H$96,Climate!$E$96)&lt;Crops!$K$15,"C","O")))</f>
        <v>·</v>
      </c>
      <c r="CP17" s="142" t="str">
        <f aca="false">IF(IF(GlobalGH,Climate!$G$97,Climate!$D$97)&lt;=0,"·",IF(IF(GlobalGH,Climate!$I$97,Climate!$F$97)&gt;Crops!$M$15,"H",IF(IF(GlobalGH,Climate!$H$97,Climate!$E$97)&lt;Crops!$K$15,"C","O")))</f>
        <v>·</v>
      </c>
      <c r="CQ17" s="142" t="str">
        <f aca="false">IF(IF(GlobalGH,Climate!$G$98,Climate!$D$98)&lt;=0,"·",IF(IF(GlobalGH,Climate!$I$98,Climate!$F$98)&gt;Crops!$M$15,"H",IF(IF(GlobalGH,Climate!$H$98,Climate!$E$98)&lt;Crops!$K$15,"C","O")))</f>
        <v>·</v>
      </c>
      <c r="CR17" s="142" t="str">
        <f aca="false">IF(IF(GlobalGH,Climate!$G$99,Climate!$D$99)&lt;=0,"·",IF(IF(GlobalGH,Climate!$I$99,Climate!$F$99)&gt;Crops!$M$15,"H",IF(IF(GlobalGH,Climate!$H$99,Climate!$E$99)&lt;Crops!$K$15,"C","O")))</f>
        <v>·</v>
      </c>
      <c r="CS17" s="142" t="str">
        <f aca="false">IF(IF(GlobalGH,Climate!$G$100,Climate!$D$100)&lt;=0,"·",IF(IF(GlobalGH,Climate!$I$100,Climate!$F$100)&gt;Crops!$M$15,"H",IF(IF(GlobalGH,Climate!$H$100,Climate!$E$100)&lt;Crops!$K$15,"C","O")))</f>
        <v>·</v>
      </c>
      <c r="CT17" s="142" t="str">
        <f aca="false">IF(IF(GlobalGH,Climate!$G$101,Climate!$D$101)&lt;=0,"·",IF(IF(GlobalGH,Climate!$I$101,Climate!$F$101)&gt;Crops!$M$15,"H",IF(IF(GlobalGH,Climate!$H$101,Climate!$E$101)&lt;Crops!$K$15,"C","O")))</f>
        <v>·</v>
      </c>
      <c r="CU17" s="142" t="str">
        <f aca="false">IF(IF(GlobalGH,Climate!$G$102,Climate!$D$102)&lt;=0,"·",IF(IF(GlobalGH,Climate!$I$102,Climate!$F$102)&gt;Crops!$M$15,"H",IF(IF(GlobalGH,Climate!$H$102,Climate!$E$102)&lt;Crops!$K$15,"C","O")))</f>
        <v>·</v>
      </c>
      <c r="CV17" s="142" t="str">
        <f aca="false">IF(IF(GlobalGH,Climate!$G$103,Climate!$D$103)&lt;=0,"·",IF(IF(GlobalGH,Climate!$I$103,Climate!$F$103)&gt;Crops!$M$15,"H",IF(IF(GlobalGH,Climate!$H$103,Climate!$E$103)&lt;Crops!$K$15,"C","O")))</f>
        <v>·</v>
      </c>
      <c r="CW17" s="142" t="str">
        <f aca="false">IF(IF(GlobalGH,Climate!$G$104,Climate!$D$104)&lt;=0,"·",IF(IF(GlobalGH,Climate!$I$104,Climate!$F$104)&gt;Crops!$M$15,"H",IF(IF(GlobalGH,Climate!$H$104,Climate!$E$104)&lt;Crops!$K$15,"C","O")))</f>
        <v>·</v>
      </c>
      <c r="CX17" s="142" t="str">
        <f aca="false">IF(IF(GlobalGH,Climate!$G$105,Climate!$D$105)&lt;=0,"·",IF(IF(GlobalGH,Climate!$I$105,Climate!$F$105)&gt;Crops!$M$15,"H",IF(IF(GlobalGH,Climate!$H$105,Climate!$E$105)&lt;Crops!$K$15,"C","O")))</f>
        <v>·</v>
      </c>
      <c r="CY17" s="142" t="str">
        <f aca="false">IF(IF(GlobalGH,Climate!$G$106,Climate!$D$106)&lt;=0,"·",IF(IF(GlobalGH,Climate!$I$106,Climate!$F$106)&gt;Crops!$M$15,"H",IF(IF(GlobalGH,Climate!$H$106,Climate!$E$106)&lt;Crops!$K$15,"C","O")))</f>
        <v>·</v>
      </c>
      <c r="CZ17" s="142" t="str">
        <f aca="false">IF(IF(GlobalGH,Climate!$G$107,Climate!$D$107)&lt;=0,"·",IF(IF(GlobalGH,Climate!$I$107,Climate!$F$107)&gt;Crops!$M$15,"H",IF(IF(GlobalGH,Climate!$H$107,Climate!$E$107)&lt;Crops!$K$15,"C","O")))</f>
        <v>·</v>
      </c>
      <c r="DA17" s="142" t="str">
        <f aca="false">IF(IF(GlobalGH,Climate!$G$108,Climate!$D$108)&lt;=0,"·",IF(IF(GlobalGH,Climate!$I$108,Climate!$F$108)&gt;Crops!$M$15,"H",IF(IF(GlobalGH,Climate!$H$108,Climate!$E$108)&lt;Crops!$K$15,"C","O")))</f>
        <v>·</v>
      </c>
      <c r="DB17" s="142" t="str">
        <f aca="false">IF(IF(GlobalGH,Climate!$G$109,Climate!$D$109)&lt;=0,"·",IF(IF(GlobalGH,Climate!$I$109,Climate!$F$109)&gt;Crops!$M$15,"H",IF(IF(GlobalGH,Climate!$H$109,Climate!$E$109)&lt;Crops!$K$15,"C","O")))</f>
        <v>·</v>
      </c>
      <c r="DC17" s="142" t="str">
        <f aca="false">IF(IF(GlobalGH,Climate!$G$110,Climate!$D$110)&lt;=0,"·",IF(IF(GlobalGH,Climate!$I$110,Climate!$F$110)&gt;Crops!$M$15,"H",IF(IF(GlobalGH,Climate!$H$110,Climate!$E$110)&lt;Crops!$K$15,"C","O")))</f>
        <v>·</v>
      </c>
      <c r="DD17" s="142" t="str">
        <f aca="false">IF(IF(GlobalGH,Climate!$G$111,Climate!$D$111)&lt;=0,"·",IF(IF(GlobalGH,Climate!$I$111,Climate!$F$111)&gt;Crops!$M$15,"H",IF(IF(GlobalGH,Climate!$H$111,Climate!$E$111)&lt;Crops!$K$15,"C","O")))</f>
        <v>·</v>
      </c>
      <c r="DE17" s="142" t="str">
        <f aca="false">IF(IF(GlobalGH,Climate!$G$112,Climate!$D$112)&lt;=0,"·",IF(IF(GlobalGH,Climate!$I$112,Climate!$F$112)&gt;Crops!$M$15,"H",IF(IF(GlobalGH,Climate!$H$112,Climate!$E$112)&lt;Crops!$K$15,"C","O")))</f>
        <v>·</v>
      </c>
      <c r="DF17" s="143" t="n">
        <f aca="false">COUNTIF(B17:DE17,"O")</f>
        <v>33</v>
      </c>
      <c r="DG17" s="139" t="s">
        <v>421</v>
      </c>
    </row>
    <row r="18" customFormat="false" ht="15" hidden="false" customHeight="true" outlineLevel="0" collapsed="false">
      <c r="A18" s="144" t="str">
        <f aca="false">Crops!$B$16</f>
        <v>Soybean</v>
      </c>
      <c r="B18" s="142" t="str">
        <f aca="false">IF(IF(GlobalGH,Climate!$G$5,Climate!$D$5)&lt;=0,"·",IF(IF(GlobalGH,Climate!$I$5,Climate!$F$5)&gt;Crops!$M$16,"H",IF(IF(GlobalGH,Climate!$H$5,Climate!$E$5)&lt;Crops!$K$16,"C","O")))</f>
        <v>·</v>
      </c>
      <c r="C18" s="142" t="str">
        <f aca="false">IF(IF(GlobalGH,Climate!$G$6,Climate!$D$6)&lt;=0,"·",IF(IF(GlobalGH,Climate!$I$6,Climate!$F$6)&gt;Crops!$M$16,"H",IF(IF(GlobalGH,Climate!$H$6,Climate!$E$6)&lt;Crops!$K$16,"C","O")))</f>
        <v>·</v>
      </c>
      <c r="D18" s="142" t="str">
        <f aca="false">IF(IF(GlobalGH,Climate!$G$7,Climate!$D$7)&lt;=0,"·",IF(IF(GlobalGH,Climate!$I$7,Climate!$F$7)&gt;Crops!$M$16,"H",IF(IF(GlobalGH,Climate!$H$7,Climate!$E$7)&lt;Crops!$K$16,"C","O")))</f>
        <v>·</v>
      </c>
      <c r="E18" s="142" t="str">
        <f aca="false">IF(IF(GlobalGH,Climate!$G$8,Climate!$D$8)&lt;=0,"·",IF(IF(GlobalGH,Climate!$I$8,Climate!$F$8)&gt;Crops!$M$16,"H",IF(IF(GlobalGH,Climate!$H$8,Climate!$E$8)&lt;Crops!$K$16,"C","O")))</f>
        <v>·</v>
      </c>
      <c r="F18" s="142" t="str">
        <f aca="false">IF(IF(GlobalGH,Climate!$G$9,Climate!$D$9)&lt;=0,"·",IF(IF(GlobalGH,Climate!$I$9,Climate!$F$9)&gt;Crops!$M$16,"H",IF(IF(GlobalGH,Climate!$H$9,Climate!$E$9)&lt;Crops!$K$16,"C","O")))</f>
        <v>·</v>
      </c>
      <c r="G18" s="142" t="str">
        <f aca="false">IF(IF(GlobalGH,Climate!$G$10,Climate!$D$10)&lt;=0,"·",IF(IF(GlobalGH,Climate!$I$10,Climate!$F$10)&gt;Crops!$M$16,"H",IF(IF(GlobalGH,Climate!$H$10,Climate!$E$10)&lt;Crops!$K$16,"C","O")))</f>
        <v>·</v>
      </c>
      <c r="H18" s="142" t="str">
        <f aca="false">IF(IF(GlobalGH,Climate!$G$11,Climate!$D$11)&lt;=0,"·",IF(IF(GlobalGH,Climate!$I$11,Climate!$F$11)&gt;Crops!$M$16,"H",IF(IF(GlobalGH,Climate!$H$11,Climate!$E$11)&lt;Crops!$K$16,"C","O")))</f>
        <v>·</v>
      </c>
      <c r="I18" s="142" t="str">
        <f aca="false">IF(IF(GlobalGH,Climate!$G$12,Climate!$D$12)&lt;=0,"·",IF(IF(GlobalGH,Climate!$I$12,Climate!$F$12)&gt;Crops!$M$16,"H",IF(IF(GlobalGH,Climate!$H$12,Climate!$E$12)&lt;Crops!$K$16,"C","O")))</f>
        <v>·</v>
      </c>
      <c r="J18" s="142" t="str">
        <f aca="false">IF(IF(GlobalGH,Climate!$G$13,Climate!$D$13)&lt;=0,"·",IF(IF(GlobalGH,Climate!$I$13,Climate!$F$13)&gt;Crops!$M$16,"H",IF(IF(GlobalGH,Climate!$H$13,Climate!$E$13)&lt;Crops!$K$16,"C","O")))</f>
        <v>·</v>
      </c>
      <c r="K18" s="142" t="str">
        <f aca="false">IF(IF(GlobalGH,Climate!$G$14,Climate!$D$14)&lt;=0,"·",IF(IF(GlobalGH,Climate!$I$14,Climate!$F$14)&gt;Crops!$M$16,"H",IF(IF(GlobalGH,Climate!$H$14,Climate!$E$14)&lt;Crops!$K$16,"C","O")))</f>
        <v>·</v>
      </c>
      <c r="L18" s="142" t="str">
        <f aca="false">IF(IF(GlobalGH,Climate!$G$15,Climate!$D$15)&lt;=0,"·",IF(IF(GlobalGH,Climate!$I$15,Climate!$F$15)&gt;Crops!$M$16,"H",IF(IF(GlobalGH,Climate!$H$15,Climate!$E$15)&lt;Crops!$K$16,"C","O")))</f>
        <v>·</v>
      </c>
      <c r="M18" s="142" t="str">
        <f aca="false">IF(IF(GlobalGH,Climate!$G$16,Climate!$D$16)&lt;=0,"·",IF(IF(GlobalGH,Climate!$I$16,Climate!$F$16)&gt;Crops!$M$16,"H",IF(IF(GlobalGH,Climate!$H$16,Climate!$E$16)&lt;Crops!$K$16,"C","O")))</f>
        <v>·</v>
      </c>
      <c r="N18" s="142" t="str">
        <f aca="false">IF(IF(GlobalGH,Climate!$G$17,Climate!$D$17)&lt;=0,"·",IF(IF(GlobalGH,Climate!$I$17,Climate!$F$17)&gt;Crops!$M$16,"H",IF(IF(GlobalGH,Climate!$H$17,Climate!$E$17)&lt;Crops!$K$16,"C","O")))</f>
        <v>·</v>
      </c>
      <c r="O18" s="142" t="str">
        <f aca="false">IF(IF(GlobalGH,Climate!$G$18,Climate!$D$18)&lt;=0,"·",IF(IF(GlobalGH,Climate!$I$18,Climate!$F$18)&gt;Crops!$M$16,"H",IF(IF(GlobalGH,Climate!$H$18,Climate!$E$18)&lt;Crops!$K$16,"C","O")))</f>
        <v>·</v>
      </c>
      <c r="P18" s="142" t="str">
        <f aca="false">IF(IF(GlobalGH,Climate!$G$19,Climate!$D$19)&lt;=0,"·",IF(IF(GlobalGH,Climate!$I$19,Climate!$F$19)&gt;Crops!$M$16,"H",IF(IF(GlobalGH,Climate!$H$19,Climate!$E$19)&lt;Crops!$K$16,"C","O")))</f>
        <v>·</v>
      </c>
      <c r="Q18" s="142" t="str">
        <f aca="false">IF(IF(GlobalGH,Climate!$G$20,Climate!$D$20)&lt;=0,"·",IF(IF(GlobalGH,Climate!$I$20,Climate!$F$20)&gt;Crops!$M$16,"H",IF(IF(GlobalGH,Climate!$H$20,Climate!$E$20)&lt;Crops!$K$16,"C","O")))</f>
        <v>·</v>
      </c>
      <c r="R18" s="142" t="str">
        <f aca="false">IF(IF(GlobalGH,Climate!$G$21,Climate!$D$21)&lt;=0,"·",IF(IF(GlobalGH,Climate!$I$21,Climate!$F$21)&gt;Crops!$M$16,"H",IF(IF(GlobalGH,Climate!$H$21,Climate!$E$21)&lt;Crops!$K$16,"C","O")))</f>
        <v>·</v>
      </c>
      <c r="S18" s="142" t="str">
        <f aca="false">IF(IF(GlobalGH,Climate!$G$22,Climate!$D$22)&lt;=0,"·",IF(IF(GlobalGH,Climate!$I$22,Climate!$F$22)&gt;Crops!$M$16,"H",IF(IF(GlobalGH,Climate!$H$22,Climate!$E$22)&lt;Crops!$K$16,"C","O")))</f>
        <v>·</v>
      </c>
      <c r="T18" s="142" t="str">
        <f aca="false">IF(IF(GlobalGH,Climate!$G$23,Climate!$D$23)&lt;=0,"·",IF(IF(GlobalGH,Climate!$I$23,Climate!$F$23)&gt;Crops!$M$16,"H",IF(IF(GlobalGH,Climate!$H$23,Climate!$E$23)&lt;Crops!$K$16,"C","O")))</f>
        <v>·</v>
      </c>
      <c r="U18" s="142" t="str">
        <f aca="false">IF(IF(GlobalGH,Climate!$G$24,Climate!$D$24)&lt;=0,"·",IF(IF(GlobalGH,Climate!$I$24,Climate!$F$24)&gt;Crops!$M$16,"H",IF(IF(GlobalGH,Climate!$H$24,Climate!$E$24)&lt;Crops!$K$16,"C","O")))</f>
        <v>·</v>
      </c>
      <c r="V18" s="142" t="str">
        <f aca="false">IF(IF(GlobalGH,Climate!$G$25,Climate!$D$25)&lt;=0,"·",IF(IF(GlobalGH,Climate!$I$25,Climate!$F$25)&gt;Crops!$M$16,"H",IF(IF(GlobalGH,Climate!$H$25,Climate!$E$25)&lt;Crops!$K$16,"C","O")))</f>
        <v>·</v>
      </c>
      <c r="W18" s="142" t="str">
        <f aca="false">IF(IF(GlobalGH,Climate!$G$26,Climate!$D$26)&lt;=0,"·",IF(IF(GlobalGH,Climate!$I$26,Climate!$F$26)&gt;Crops!$M$16,"H",IF(IF(GlobalGH,Climate!$H$26,Climate!$E$26)&lt;Crops!$K$16,"C","O")))</f>
        <v>·</v>
      </c>
      <c r="X18" s="142" t="str">
        <f aca="false">IF(IF(GlobalGH,Climate!$G$27,Climate!$D$27)&lt;=0,"·",IF(IF(GlobalGH,Climate!$I$27,Climate!$F$27)&gt;Crops!$M$16,"H",IF(IF(GlobalGH,Climate!$H$27,Climate!$E$27)&lt;Crops!$K$16,"C","O")))</f>
        <v>·</v>
      </c>
      <c r="Y18" s="142" t="str">
        <f aca="false">IF(IF(GlobalGH,Climate!$G$28,Climate!$D$28)&lt;=0,"·",IF(IF(GlobalGH,Climate!$I$28,Climate!$F$28)&gt;Crops!$M$16,"H",IF(IF(GlobalGH,Climate!$H$28,Climate!$E$28)&lt;Crops!$K$16,"C","O")))</f>
        <v>·</v>
      </c>
      <c r="Z18" s="142" t="str">
        <f aca="false">IF(IF(GlobalGH,Climate!$G$29,Climate!$D$29)&lt;=0,"·",IF(IF(GlobalGH,Climate!$I$29,Climate!$F$29)&gt;Crops!$M$16,"H",IF(IF(GlobalGH,Climate!$H$29,Climate!$E$29)&lt;Crops!$K$16,"C","O")))</f>
        <v>·</v>
      </c>
      <c r="AA18" s="142" t="str">
        <f aca="false">IF(IF(GlobalGH,Climate!$G$30,Climate!$D$30)&lt;=0,"·",IF(IF(GlobalGH,Climate!$I$30,Climate!$F$30)&gt;Crops!$M$16,"H",IF(IF(GlobalGH,Climate!$H$30,Climate!$E$30)&lt;Crops!$K$16,"C","O")))</f>
        <v>·</v>
      </c>
      <c r="AB18" s="142" t="str">
        <f aca="false">IF(IF(GlobalGH,Climate!$G$31,Climate!$D$31)&lt;=0,"·",IF(IF(GlobalGH,Climate!$I$31,Climate!$F$31)&gt;Crops!$M$16,"H",IF(IF(GlobalGH,Climate!$H$31,Climate!$E$31)&lt;Crops!$K$16,"C","O")))</f>
        <v>·</v>
      </c>
      <c r="AC18" s="142" t="str">
        <f aca="false">IF(IF(GlobalGH,Climate!$G$32,Climate!$D$32)&lt;=0,"·",IF(IF(GlobalGH,Climate!$I$32,Climate!$F$32)&gt;Crops!$M$16,"H",IF(IF(GlobalGH,Climate!$H$32,Climate!$E$32)&lt;Crops!$K$16,"C","O")))</f>
        <v>·</v>
      </c>
      <c r="AD18" s="142" t="str">
        <f aca="false">IF(IF(GlobalGH,Climate!$G$33,Climate!$D$33)&lt;=0,"·",IF(IF(GlobalGH,Climate!$I$33,Climate!$F$33)&gt;Crops!$M$16,"H",IF(IF(GlobalGH,Climate!$H$33,Climate!$E$33)&lt;Crops!$K$16,"C","O")))</f>
        <v>·</v>
      </c>
      <c r="AE18" s="142" t="str">
        <f aca="false">IF(IF(GlobalGH,Climate!$G$34,Climate!$D$34)&lt;=0,"·",IF(IF(GlobalGH,Climate!$I$34,Climate!$F$34)&gt;Crops!$M$16,"H",IF(IF(GlobalGH,Climate!$H$34,Climate!$E$34)&lt;Crops!$K$16,"C","O")))</f>
        <v>·</v>
      </c>
      <c r="AF18" s="142" t="str">
        <f aca="false">IF(IF(GlobalGH,Climate!$G$35,Climate!$D$35)&lt;=0,"·",IF(IF(GlobalGH,Climate!$I$35,Climate!$F$35)&gt;Crops!$M$16,"H",IF(IF(GlobalGH,Climate!$H$35,Climate!$E$35)&lt;Crops!$K$16,"C","O")))</f>
        <v>·</v>
      </c>
      <c r="AG18" s="142" t="str">
        <f aca="false">IF(IF(GlobalGH,Climate!$G$36,Climate!$D$36)&lt;=0,"·",IF(IF(GlobalGH,Climate!$I$36,Climate!$F$36)&gt;Crops!$M$16,"H",IF(IF(GlobalGH,Climate!$H$36,Climate!$E$36)&lt;Crops!$K$16,"C","O")))</f>
        <v>·</v>
      </c>
      <c r="AH18" s="142" t="str">
        <f aca="false">IF(IF(GlobalGH,Climate!$G$37,Climate!$D$37)&lt;=0,"·",IF(IF(GlobalGH,Climate!$I$37,Climate!$F$37)&gt;Crops!$M$16,"H",IF(IF(GlobalGH,Climate!$H$37,Climate!$E$37)&lt;Crops!$K$16,"C","O")))</f>
        <v>·</v>
      </c>
      <c r="AI18" s="142" t="str">
        <f aca="false">IF(IF(GlobalGH,Climate!$G$38,Climate!$D$38)&lt;=0,"·",IF(IF(GlobalGH,Climate!$I$38,Climate!$F$38)&gt;Crops!$M$16,"H",IF(IF(GlobalGH,Climate!$H$38,Climate!$E$38)&lt;Crops!$K$16,"C","O")))</f>
        <v>C</v>
      </c>
      <c r="AJ18" s="142" t="str">
        <f aca="false">IF(IF(GlobalGH,Climate!$G$39,Climate!$D$39)&lt;=0,"·",IF(IF(GlobalGH,Climate!$I$39,Climate!$F$39)&gt;Crops!$M$16,"H",IF(IF(GlobalGH,Climate!$H$39,Climate!$E$39)&lt;Crops!$K$16,"C","O")))</f>
        <v>C</v>
      </c>
      <c r="AK18" s="142" t="str">
        <f aca="false">IF(IF(GlobalGH,Climate!$G$40,Climate!$D$40)&lt;=0,"·",IF(IF(GlobalGH,Climate!$I$40,Climate!$F$40)&gt;Crops!$M$16,"H",IF(IF(GlobalGH,Climate!$H$40,Climate!$E$40)&lt;Crops!$K$16,"C","O")))</f>
        <v>C</v>
      </c>
      <c r="AL18" s="142" t="str">
        <f aca="false">IF(IF(GlobalGH,Climate!$G$41,Climate!$D$41)&lt;=0,"·",IF(IF(GlobalGH,Climate!$I$41,Climate!$F$41)&gt;Crops!$M$16,"H",IF(IF(GlobalGH,Climate!$H$41,Climate!$E$41)&lt;Crops!$K$16,"C","O")))</f>
        <v>C</v>
      </c>
      <c r="AM18" s="142" t="str">
        <f aca="false">IF(IF(GlobalGH,Climate!$G$42,Climate!$D$42)&lt;=0,"·",IF(IF(GlobalGH,Climate!$I$42,Climate!$F$42)&gt;Crops!$M$16,"H",IF(IF(GlobalGH,Climate!$H$42,Climate!$E$42)&lt;Crops!$K$16,"C","O")))</f>
        <v>C</v>
      </c>
      <c r="AN18" s="142" t="str">
        <f aca="false">IF(IF(GlobalGH,Climate!$G$43,Climate!$D$43)&lt;=0,"·",IF(IF(GlobalGH,Climate!$I$43,Climate!$F$43)&gt;Crops!$M$16,"H",IF(IF(GlobalGH,Climate!$H$43,Climate!$E$43)&lt;Crops!$K$16,"C","O")))</f>
        <v>C</v>
      </c>
      <c r="AO18" s="142" t="str">
        <f aca="false">IF(IF(GlobalGH,Climate!$G$44,Climate!$D$44)&lt;=0,"·",IF(IF(GlobalGH,Climate!$I$44,Climate!$F$44)&gt;Crops!$M$16,"H",IF(IF(GlobalGH,Climate!$H$44,Climate!$E$44)&lt;Crops!$K$16,"C","O")))</f>
        <v>C</v>
      </c>
      <c r="AP18" s="142" t="str">
        <f aca="false">IF(IF(GlobalGH,Climate!$G$45,Climate!$D$45)&lt;=0,"·",IF(IF(GlobalGH,Climate!$I$45,Climate!$F$45)&gt;Crops!$M$16,"H",IF(IF(GlobalGH,Climate!$H$45,Climate!$E$45)&lt;Crops!$K$16,"C","O")))</f>
        <v>C</v>
      </c>
      <c r="AQ18" s="142" t="str">
        <f aca="false">IF(IF(GlobalGH,Climate!$G$46,Climate!$D$46)&lt;=0,"·",IF(IF(GlobalGH,Climate!$I$46,Climate!$F$46)&gt;Crops!$M$16,"H",IF(IF(GlobalGH,Climate!$H$46,Climate!$E$46)&lt;Crops!$K$16,"C","O")))</f>
        <v>C</v>
      </c>
      <c r="AR18" s="142" t="str">
        <f aca="false">IF(IF(GlobalGH,Climate!$G$47,Climate!$D$47)&lt;=0,"·",IF(IF(GlobalGH,Climate!$I$47,Climate!$F$47)&gt;Crops!$M$16,"H",IF(IF(GlobalGH,Climate!$H$47,Climate!$E$47)&lt;Crops!$K$16,"C","O")))</f>
        <v>O</v>
      </c>
      <c r="AS18" s="142" t="str">
        <f aca="false">IF(IF(GlobalGH,Climate!$G$48,Climate!$D$48)&lt;=0,"·",IF(IF(GlobalGH,Climate!$I$48,Climate!$F$48)&gt;Crops!$M$16,"H",IF(IF(GlobalGH,Climate!$H$48,Climate!$E$48)&lt;Crops!$K$16,"C","O")))</f>
        <v>O</v>
      </c>
      <c r="AT18" s="142" t="str">
        <f aca="false">IF(IF(GlobalGH,Climate!$G$49,Climate!$D$49)&lt;=0,"·",IF(IF(GlobalGH,Climate!$I$49,Climate!$F$49)&gt;Crops!$M$16,"H",IF(IF(GlobalGH,Climate!$H$49,Climate!$E$49)&lt;Crops!$K$16,"C","O")))</f>
        <v>O</v>
      </c>
      <c r="AU18" s="142" t="str">
        <f aca="false">IF(IF(GlobalGH,Climate!$G$50,Climate!$D$50)&lt;=0,"·",IF(IF(GlobalGH,Climate!$I$50,Climate!$F$50)&gt;Crops!$M$16,"H",IF(IF(GlobalGH,Climate!$H$50,Climate!$E$50)&lt;Crops!$K$16,"C","O")))</f>
        <v>O</v>
      </c>
      <c r="AV18" s="142" t="str">
        <f aca="false">IF(IF(GlobalGH,Climate!$G$51,Climate!$D$51)&lt;=0,"·",IF(IF(GlobalGH,Climate!$I$51,Climate!$F$51)&gt;Crops!$M$16,"H",IF(IF(GlobalGH,Climate!$H$51,Climate!$E$51)&lt;Crops!$K$16,"C","O")))</f>
        <v>O</v>
      </c>
      <c r="AW18" s="142" t="str">
        <f aca="false">IF(IF(GlobalGH,Climate!$G$52,Climate!$D$52)&lt;=0,"·",IF(IF(GlobalGH,Climate!$I$52,Climate!$F$52)&gt;Crops!$M$16,"H",IF(IF(GlobalGH,Climate!$H$52,Climate!$E$52)&lt;Crops!$K$16,"C","O")))</f>
        <v>O</v>
      </c>
      <c r="AX18" s="142" t="str">
        <f aca="false">IF(IF(GlobalGH,Climate!$G$53,Climate!$D$53)&lt;=0,"·",IF(IF(GlobalGH,Climate!$I$53,Climate!$F$53)&gt;Crops!$M$16,"H",IF(IF(GlobalGH,Climate!$H$53,Climate!$E$53)&lt;Crops!$K$16,"C","O")))</f>
        <v>O</v>
      </c>
      <c r="AY18" s="142" t="str">
        <f aca="false">IF(IF(GlobalGH,Climate!$G$54,Climate!$D$54)&lt;=0,"·",IF(IF(GlobalGH,Climate!$I$54,Climate!$F$54)&gt;Crops!$M$16,"H",IF(IF(GlobalGH,Climate!$H$54,Climate!$E$54)&lt;Crops!$K$16,"C","O")))</f>
        <v>O</v>
      </c>
      <c r="AZ18" s="142" t="str">
        <f aca="false">IF(IF(GlobalGH,Climate!$G$55,Climate!$D$55)&lt;=0,"·",IF(IF(GlobalGH,Climate!$I$55,Climate!$F$55)&gt;Crops!$M$16,"H",IF(IF(GlobalGH,Climate!$H$55,Climate!$E$55)&lt;Crops!$K$16,"C","O")))</f>
        <v>O</v>
      </c>
      <c r="BA18" s="142" t="str">
        <f aca="false">IF(IF(GlobalGH,Climate!$G$56,Climate!$D$56)&lt;=0,"·",IF(IF(GlobalGH,Climate!$I$56,Climate!$F$56)&gt;Crops!$M$16,"H",IF(IF(GlobalGH,Climate!$H$56,Climate!$E$56)&lt;Crops!$K$16,"C","O")))</f>
        <v>O</v>
      </c>
      <c r="BB18" s="142" t="str">
        <f aca="false">IF(IF(GlobalGH,Climate!$G$57,Climate!$D$57)&lt;=0,"·",IF(IF(GlobalGH,Climate!$I$57,Climate!$F$57)&gt;Crops!$M$16,"H",IF(IF(GlobalGH,Climate!$H$57,Climate!$E$57)&lt;Crops!$K$16,"C","O")))</f>
        <v>O</v>
      </c>
      <c r="BC18" s="142" t="str">
        <f aca="false">IF(IF(GlobalGH,Climate!$G$58,Climate!$D$58)&lt;=0,"·",IF(IF(GlobalGH,Climate!$I$58,Climate!$F$58)&gt;Crops!$M$16,"H",IF(IF(GlobalGH,Climate!$H$58,Climate!$E$58)&lt;Crops!$K$16,"C","O")))</f>
        <v>O</v>
      </c>
      <c r="BD18" s="142" t="str">
        <f aca="false">IF(IF(GlobalGH,Climate!$G$59,Climate!$D$59)&lt;=0,"·",IF(IF(GlobalGH,Climate!$I$59,Climate!$F$59)&gt;Crops!$M$16,"H",IF(IF(GlobalGH,Climate!$H$59,Climate!$E$59)&lt;Crops!$K$16,"C","O")))</f>
        <v>O</v>
      </c>
      <c r="BE18" s="142" t="str">
        <f aca="false">IF(IF(GlobalGH,Climate!$G$60,Climate!$D$60)&lt;=0,"·",IF(IF(GlobalGH,Climate!$I$60,Climate!$F$60)&gt;Crops!$M$16,"H",IF(IF(GlobalGH,Climate!$H$60,Climate!$E$60)&lt;Crops!$K$16,"C","O")))</f>
        <v>O</v>
      </c>
      <c r="BF18" s="142" t="str">
        <f aca="false">IF(IF(GlobalGH,Climate!$G$61,Climate!$D$61)&lt;=0,"·",IF(IF(GlobalGH,Climate!$I$61,Climate!$F$61)&gt;Crops!$M$16,"H",IF(IF(GlobalGH,Climate!$H$61,Climate!$E$61)&lt;Crops!$K$16,"C","O")))</f>
        <v>O</v>
      </c>
      <c r="BG18" s="142" t="str">
        <f aca="false">IF(IF(GlobalGH,Climate!$G$62,Climate!$D$62)&lt;=0,"·",IF(IF(GlobalGH,Climate!$I$62,Climate!$F$62)&gt;Crops!$M$16,"H",IF(IF(GlobalGH,Climate!$H$62,Climate!$E$62)&lt;Crops!$K$16,"C","O")))</f>
        <v>O</v>
      </c>
      <c r="BH18" s="142" t="str">
        <f aca="false">IF(IF(GlobalGH,Climate!$G$63,Climate!$D$63)&lt;=0,"·",IF(IF(GlobalGH,Climate!$I$63,Climate!$F$63)&gt;Crops!$M$16,"H",IF(IF(GlobalGH,Climate!$H$63,Climate!$E$63)&lt;Crops!$K$16,"C","O")))</f>
        <v>O</v>
      </c>
      <c r="BI18" s="142" t="str">
        <f aca="false">IF(IF(GlobalGH,Climate!$G$64,Climate!$D$64)&lt;=0,"·",IF(IF(GlobalGH,Climate!$I$64,Climate!$F$64)&gt;Crops!$M$16,"H",IF(IF(GlobalGH,Climate!$H$64,Climate!$E$64)&lt;Crops!$K$16,"C","O")))</f>
        <v>O</v>
      </c>
      <c r="BJ18" s="142" t="str">
        <f aca="false">IF(IF(GlobalGH,Climate!$G$65,Climate!$D$65)&lt;=0,"·",IF(IF(GlobalGH,Climate!$I$65,Climate!$F$65)&gt;Crops!$M$16,"H",IF(IF(GlobalGH,Climate!$H$65,Climate!$E$65)&lt;Crops!$K$16,"C","O")))</f>
        <v>O</v>
      </c>
      <c r="BK18" s="142" t="str">
        <f aca="false">IF(IF(GlobalGH,Climate!$G$66,Climate!$D$66)&lt;=0,"·",IF(IF(GlobalGH,Climate!$I$66,Climate!$F$66)&gt;Crops!$M$16,"H",IF(IF(GlobalGH,Climate!$H$66,Climate!$E$66)&lt;Crops!$K$16,"C","O")))</f>
        <v>O</v>
      </c>
      <c r="BL18" s="142" t="str">
        <f aca="false">IF(IF(GlobalGH,Climate!$G$67,Climate!$D$67)&lt;=0,"·",IF(IF(GlobalGH,Climate!$I$67,Climate!$F$67)&gt;Crops!$M$16,"H",IF(IF(GlobalGH,Climate!$H$67,Climate!$E$67)&lt;Crops!$K$16,"C","O")))</f>
        <v>O</v>
      </c>
      <c r="BM18" s="142" t="str">
        <f aca="false">IF(IF(GlobalGH,Climate!$G$68,Climate!$D$68)&lt;=0,"·",IF(IF(GlobalGH,Climate!$I$68,Climate!$F$68)&gt;Crops!$M$16,"H",IF(IF(GlobalGH,Climate!$H$68,Climate!$E$68)&lt;Crops!$K$16,"C","O")))</f>
        <v>O</v>
      </c>
      <c r="BN18" s="142" t="str">
        <f aca="false">IF(IF(GlobalGH,Climate!$G$69,Climate!$D$69)&lt;=0,"·",IF(IF(GlobalGH,Climate!$I$69,Climate!$F$69)&gt;Crops!$M$16,"H",IF(IF(GlobalGH,Climate!$H$69,Climate!$E$69)&lt;Crops!$K$16,"C","O")))</f>
        <v>O</v>
      </c>
      <c r="BO18" s="142" t="str">
        <f aca="false">IF(IF(GlobalGH,Climate!$G$70,Climate!$D$70)&lt;=0,"·",IF(IF(GlobalGH,Climate!$I$70,Climate!$F$70)&gt;Crops!$M$16,"H",IF(IF(GlobalGH,Climate!$H$70,Climate!$E$70)&lt;Crops!$K$16,"C","O")))</f>
        <v>O</v>
      </c>
      <c r="BP18" s="142" t="str">
        <f aca="false">IF(IF(GlobalGH,Climate!$G$71,Climate!$D$71)&lt;=0,"·",IF(IF(GlobalGH,Climate!$I$71,Climate!$F$71)&gt;Crops!$M$16,"H",IF(IF(GlobalGH,Climate!$H$71,Climate!$E$71)&lt;Crops!$K$16,"C","O")))</f>
        <v>O</v>
      </c>
      <c r="BQ18" s="142" t="str">
        <f aca="false">IF(IF(GlobalGH,Climate!$G$72,Climate!$D$72)&lt;=0,"·",IF(IF(GlobalGH,Climate!$I$72,Climate!$F$72)&gt;Crops!$M$16,"H",IF(IF(GlobalGH,Climate!$H$72,Climate!$E$72)&lt;Crops!$K$16,"C","O")))</f>
        <v>O</v>
      </c>
      <c r="BR18" s="142" t="str">
        <f aca="false">IF(IF(GlobalGH,Climate!$G$73,Climate!$D$73)&lt;=0,"·",IF(IF(GlobalGH,Climate!$I$73,Climate!$F$73)&gt;Crops!$M$16,"H",IF(IF(GlobalGH,Climate!$H$73,Climate!$E$73)&lt;Crops!$K$16,"C","O")))</f>
        <v>O</v>
      </c>
      <c r="BS18" s="142" t="str">
        <f aca="false">IF(IF(GlobalGH,Climate!$G$74,Climate!$D$74)&lt;=0,"·",IF(IF(GlobalGH,Climate!$I$74,Climate!$F$74)&gt;Crops!$M$16,"H",IF(IF(GlobalGH,Climate!$H$74,Climate!$E$74)&lt;Crops!$K$16,"C","O")))</f>
        <v>O</v>
      </c>
      <c r="BT18" s="142" t="str">
        <f aca="false">IF(IF(GlobalGH,Climate!$G$75,Climate!$D$75)&lt;=0,"·",IF(IF(GlobalGH,Climate!$I$75,Climate!$F$75)&gt;Crops!$M$16,"H",IF(IF(GlobalGH,Climate!$H$75,Climate!$E$75)&lt;Crops!$K$16,"C","O")))</f>
        <v>O</v>
      </c>
      <c r="BU18" s="142" t="str">
        <f aca="false">IF(IF(GlobalGH,Climate!$G$76,Climate!$D$76)&lt;=0,"·",IF(IF(GlobalGH,Climate!$I$76,Climate!$F$76)&gt;Crops!$M$16,"H",IF(IF(GlobalGH,Climate!$H$76,Climate!$E$76)&lt;Crops!$K$16,"C","O")))</f>
        <v>O</v>
      </c>
      <c r="BV18" s="142" t="str">
        <f aca="false">IF(IF(GlobalGH,Climate!$G$77,Climate!$D$77)&lt;=0,"·",IF(IF(GlobalGH,Climate!$I$77,Climate!$F$77)&gt;Crops!$M$16,"H",IF(IF(GlobalGH,Climate!$H$77,Climate!$E$77)&lt;Crops!$K$16,"C","O")))</f>
        <v>O</v>
      </c>
      <c r="BW18" s="142" t="str">
        <f aca="false">IF(IF(GlobalGH,Climate!$G$78,Climate!$D$78)&lt;=0,"·",IF(IF(GlobalGH,Climate!$I$78,Climate!$F$78)&gt;Crops!$M$16,"H",IF(IF(GlobalGH,Climate!$H$78,Climate!$E$78)&lt;Crops!$K$16,"C","O")))</f>
        <v>O</v>
      </c>
      <c r="BX18" s="142" t="str">
        <f aca="false">IF(IF(GlobalGH,Climate!$G$79,Climate!$D$79)&lt;=0,"·",IF(IF(GlobalGH,Climate!$I$79,Climate!$F$79)&gt;Crops!$M$16,"H",IF(IF(GlobalGH,Climate!$H$79,Climate!$E$79)&lt;Crops!$K$16,"C","O")))</f>
        <v>C</v>
      </c>
      <c r="BY18" s="142" t="str">
        <f aca="false">IF(IF(GlobalGH,Climate!$G$80,Climate!$D$80)&lt;=0,"·",IF(IF(GlobalGH,Climate!$I$80,Climate!$F$80)&gt;Crops!$M$16,"H",IF(IF(GlobalGH,Climate!$H$80,Climate!$E$80)&lt;Crops!$K$16,"C","O")))</f>
        <v>O</v>
      </c>
      <c r="BZ18" s="142" t="str">
        <f aca="false">IF(IF(GlobalGH,Climate!$G$81,Climate!$D$81)&lt;=0,"·",IF(IF(GlobalGH,Climate!$I$81,Climate!$F$81)&gt;Crops!$M$16,"H",IF(IF(GlobalGH,Climate!$H$81,Climate!$E$81)&lt;Crops!$K$16,"C","O")))</f>
        <v>C</v>
      </c>
      <c r="CA18" s="142" t="str">
        <f aca="false">IF(IF(GlobalGH,Climate!$G$82,Climate!$D$82)&lt;=0,"·",IF(IF(GlobalGH,Climate!$I$82,Climate!$F$82)&gt;Crops!$M$16,"H",IF(IF(GlobalGH,Climate!$H$82,Climate!$E$82)&lt;Crops!$K$16,"C","O")))</f>
        <v>C</v>
      </c>
      <c r="CB18" s="142" t="str">
        <f aca="false">IF(IF(GlobalGH,Climate!$G$83,Climate!$D$83)&lt;=0,"·",IF(IF(GlobalGH,Climate!$I$83,Climate!$F$83)&gt;Crops!$M$16,"H",IF(IF(GlobalGH,Climate!$H$83,Climate!$E$83)&lt;Crops!$K$16,"C","O")))</f>
        <v>C</v>
      </c>
      <c r="CC18" s="142" t="str">
        <f aca="false">IF(IF(GlobalGH,Climate!$G$84,Climate!$D$84)&lt;=0,"·",IF(IF(GlobalGH,Climate!$I$84,Climate!$F$84)&gt;Crops!$M$16,"H",IF(IF(GlobalGH,Climate!$H$84,Climate!$E$84)&lt;Crops!$K$16,"C","O")))</f>
        <v>C</v>
      </c>
      <c r="CD18" s="142" t="str">
        <f aca="false">IF(IF(GlobalGH,Climate!$G$85,Climate!$D$85)&lt;=0,"·",IF(IF(GlobalGH,Climate!$I$85,Climate!$F$85)&gt;Crops!$M$16,"H",IF(IF(GlobalGH,Climate!$H$85,Climate!$E$85)&lt;Crops!$K$16,"C","O")))</f>
        <v>C</v>
      </c>
      <c r="CE18" s="142" t="str">
        <f aca="false">IF(IF(GlobalGH,Climate!$G$86,Climate!$D$86)&lt;=0,"·",IF(IF(GlobalGH,Climate!$I$86,Climate!$F$86)&gt;Crops!$M$16,"H",IF(IF(GlobalGH,Climate!$H$86,Climate!$E$86)&lt;Crops!$K$16,"C","O")))</f>
        <v>C</v>
      </c>
      <c r="CF18" s="142" t="str">
        <f aca="false">IF(IF(GlobalGH,Climate!$G$87,Climate!$D$87)&lt;=0,"·",IF(IF(GlobalGH,Climate!$I$87,Climate!$F$87)&gt;Crops!$M$16,"H",IF(IF(GlobalGH,Climate!$H$87,Climate!$E$87)&lt;Crops!$K$16,"C","O")))</f>
        <v>C</v>
      </c>
      <c r="CG18" s="142" t="str">
        <f aca="false">IF(IF(GlobalGH,Climate!$G$88,Climate!$D$88)&lt;=0,"·",IF(IF(GlobalGH,Climate!$I$88,Climate!$F$88)&gt;Crops!$M$16,"H",IF(IF(GlobalGH,Climate!$H$88,Climate!$E$88)&lt;Crops!$K$16,"C","O")))</f>
        <v>·</v>
      </c>
      <c r="CH18" s="142" t="str">
        <f aca="false">IF(IF(GlobalGH,Climate!$G$89,Climate!$D$89)&lt;=0,"·",IF(IF(GlobalGH,Climate!$I$89,Climate!$F$89)&gt;Crops!$M$16,"H",IF(IF(GlobalGH,Climate!$H$89,Climate!$E$89)&lt;Crops!$K$16,"C","O")))</f>
        <v>·</v>
      </c>
      <c r="CI18" s="142" t="str">
        <f aca="false">IF(IF(GlobalGH,Climate!$G$90,Climate!$D$90)&lt;=0,"·",IF(IF(GlobalGH,Climate!$I$90,Climate!$F$90)&gt;Crops!$M$16,"H",IF(IF(GlobalGH,Climate!$H$90,Climate!$E$90)&lt;Crops!$K$16,"C","O")))</f>
        <v>·</v>
      </c>
      <c r="CJ18" s="142" t="str">
        <f aca="false">IF(IF(GlobalGH,Climate!$G$91,Climate!$D$91)&lt;=0,"·",IF(IF(GlobalGH,Climate!$I$91,Climate!$F$91)&gt;Crops!$M$16,"H",IF(IF(GlobalGH,Climate!$H$91,Climate!$E$91)&lt;Crops!$K$16,"C","O")))</f>
        <v>·</v>
      </c>
      <c r="CK18" s="142" t="str">
        <f aca="false">IF(IF(GlobalGH,Climate!$G$92,Climate!$D$92)&lt;=0,"·",IF(IF(GlobalGH,Climate!$I$92,Climate!$F$92)&gt;Crops!$M$16,"H",IF(IF(GlobalGH,Climate!$H$92,Climate!$E$92)&lt;Crops!$K$16,"C","O")))</f>
        <v>·</v>
      </c>
      <c r="CL18" s="142" t="str">
        <f aca="false">IF(IF(GlobalGH,Climate!$G$93,Climate!$D$93)&lt;=0,"·",IF(IF(GlobalGH,Climate!$I$93,Climate!$F$93)&gt;Crops!$M$16,"H",IF(IF(GlobalGH,Climate!$H$93,Climate!$E$93)&lt;Crops!$K$16,"C","O")))</f>
        <v>·</v>
      </c>
      <c r="CM18" s="142" t="str">
        <f aca="false">IF(IF(GlobalGH,Climate!$G$94,Climate!$D$94)&lt;=0,"·",IF(IF(GlobalGH,Climate!$I$94,Climate!$F$94)&gt;Crops!$M$16,"H",IF(IF(GlobalGH,Climate!$H$94,Climate!$E$94)&lt;Crops!$K$16,"C","O")))</f>
        <v>·</v>
      </c>
      <c r="CN18" s="142" t="str">
        <f aca="false">IF(IF(GlobalGH,Climate!$G$95,Climate!$D$95)&lt;=0,"·",IF(IF(GlobalGH,Climate!$I$95,Climate!$F$95)&gt;Crops!$M$16,"H",IF(IF(GlobalGH,Climate!$H$95,Climate!$E$95)&lt;Crops!$K$16,"C","O")))</f>
        <v>·</v>
      </c>
      <c r="CO18" s="142" t="str">
        <f aca="false">IF(IF(GlobalGH,Climate!$G$96,Climate!$D$96)&lt;=0,"·",IF(IF(GlobalGH,Climate!$I$96,Climate!$F$96)&gt;Crops!$M$16,"H",IF(IF(GlobalGH,Climate!$H$96,Climate!$E$96)&lt;Crops!$K$16,"C","O")))</f>
        <v>·</v>
      </c>
      <c r="CP18" s="142" t="str">
        <f aca="false">IF(IF(GlobalGH,Climate!$G$97,Climate!$D$97)&lt;=0,"·",IF(IF(GlobalGH,Climate!$I$97,Climate!$F$97)&gt;Crops!$M$16,"H",IF(IF(GlobalGH,Climate!$H$97,Climate!$E$97)&lt;Crops!$K$16,"C","O")))</f>
        <v>·</v>
      </c>
      <c r="CQ18" s="142" t="str">
        <f aca="false">IF(IF(GlobalGH,Climate!$G$98,Climate!$D$98)&lt;=0,"·",IF(IF(GlobalGH,Climate!$I$98,Climate!$F$98)&gt;Crops!$M$16,"H",IF(IF(GlobalGH,Climate!$H$98,Climate!$E$98)&lt;Crops!$K$16,"C","O")))</f>
        <v>·</v>
      </c>
      <c r="CR18" s="142" t="str">
        <f aca="false">IF(IF(GlobalGH,Climate!$G$99,Climate!$D$99)&lt;=0,"·",IF(IF(GlobalGH,Climate!$I$99,Climate!$F$99)&gt;Crops!$M$16,"H",IF(IF(GlobalGH,Climate!$H$99,Climate!$E$99)&lt;Crops!$K$16,"C","O")))</f>
        <v>·</v>
      </c>
      <c r="CS18" s="142" t="str">
        <f aca="false">IF(IF(GlobalGH,Climate!$G$100,Climate!$D$100)&lt;=0,"·",IF(IF(GlobalGH,Climate!$I$100,Climate!$F$100)&gt;Crops!$M$16,"H",IF(IF(GlobalGH,Climate!$H$100,Climate!$E$100)&lt;Crops!$K$16,"C","O")))</f>
        <v>·</v>
      </c>
      <c r="CT18" s="142" t="str">
        <f aca="false">IF(IF(GlobalGH,Climate!$G$101,Climate!$D$101)&lt;=0,"·",IF(IF(GlobalGH,Climate!$I$101,Climate!$F$101)&gt;Crops!$M$16,"H",IF(IF(GlobalGH,Climate!$H$101,Climate!$E$101)&lt;Crops!$K$16,"C","O")))</f>
        <v>·</v>
      </c>
      <c r="CU18" s="142" t="str">
        <f aca="false">IF(IF(GlobalGH,Climate!$G$102,Climate!$D$102)&lt;=0,"·",IF(IF(GlobalGH,Climate!$I$102,Climate!$F$102)&gt;Crops!$M$16,"H",IF(IF(GlobalGH,Climate!$H$102,Climate!$E$102)&lt;Crops!$K$16,"C","O")))</f>
        <v>·</v>
      </c>
      <c r="CV18" s="142" t="str">
        <f aca="false">IF(IF(GlobalGH,Climate!$G$103,Climate!$D$103)&lt;=0,"·",IF(IF(GlobalGH,Climate!$I$103,Climate!$F$103)&gt;Crops!$M$16,"H",IF(IF(GlobalGH,Climate!$H$103,Climate!$E$103)&lt;Crops!$K$16,"C","O")))</f>
        <v>·</v>
      </c>
      <c r="CW18" s="142" t="str">
        <f aca="false">IF(IF(GlobalGH,Climate!$G$104,Climate!$D$104)&lt;=0,"·",IF(IF(GlobalGH,Climate!$I$104,Climate!$F$104)&gt;Crops!$M$16,"H",IF(IF(GlobalGH,Climate!$H$104,Climate!$E$104)&lt;Crops!$K$16,"C","O")))</f>
        <v>·</v>
      </c>
      <c r="CX18" s="142" t="str">
        <f aca="false">IF(IF(GlobalGH,Climate!$G$105,Climate!$D$105)&lt;=0,"·",IF(IF(GlobalGH,Climate!$I$105,Climate!$F$105)&gt;Crops!$M$16,"H",IF(IF(GlobalGH,Climate!$H$105,Climate!$E$105)&lt;Crops!$K$16,"C","O")))</f>
        <v>·</v>
      </c>
      <c r="CY18" s="142" t="str">
        <f aca="false">IF(IF(GlobalGH,Climate!$G$106,Climate!$D$106)&lt;=0,"·",IF(IF(GlobalGH,Climate!$I$106,Climate!$F$106)&gt;Crops!$M$16,"H",IF(IF(GlobalGH,Climate!$H$106,Climate!$E$106)&lt;Crops!$K$16,"C","O")))</f>
        <v>·</v>
      </c>
      <c r="CZ18" s="142" t="str">
        <f aca="false">IF(IF(GlobalGH,Climate!$G$107,Climate!$D$107)&lt;=0,"·",IF(IF(GlobalGH,Climate!$I$107,Climate!$F$107)&gt;Crops!$M$16,"H",IF(IF(GlobalGH,Climate!$H$107,Climate!$E$107)&lt;Crops!$K$16,"C","O")))</f>
        <v>·</v>
      </c>
      <c r="DA18" s="142" t="str">
        <f aca="false">IF(IF(GlobalGH,Climate!$G$108,Climate!$D$108)&lt;=0,"·",IF(IF(GlobalGH,Climate!$I$108,Climate!$F$108)&gt;Crops!$M$16,"H",IF(IF(GlobalGH,Climate!$H$108,Climate!$E$108)&lt;Crops!$K$16,"C","O")))</f>
        <v>·</v>
      </c>
      <c r="DB18" s="142" t="str">
        <f aca="false">IF(IF(GlobalGH,Climate!$G$109,Climate!$D$109)&lt;=0,"·",IF(IF(GlobalGH,Climate!$I$109,Climate!$F$109)&gt;Crops!$M$16,"H",IF(IF(GlobalGH,Climate!$H$109,Climate!$E$109)&lt;Crops!$K$16,"C","O")))</f>
        <v>·</v>
      </c>
      <c r="DC18" s="142" t="str">
        <f aca="false">IF(IF(GlobalGH,Climate!$G$110,Climate!$D$110)&lt;=0,"·",IF(IF(GlobalGH,Climate!$I$110,Climate!$F$110)&gt;Crops!$M$16,"H",IF(IF(GlobalGH,Climate!$H$110,Climate!$E$110)&lt;Crops!$K$16,"C","O")))</f>
        <v>·</v>
      </c>
      <c r="DD18" s="142" t="str">
        <f aca="false">IF(IF(GlobalGH,Climate!$G$111,Climate!$D$111)&lt;=0,"·",IF(IF(GlobalGH,Climate!$I$111,Climate!$F$111)&gt;Crops!$M$16,"H",IF(IF(GlobalGH,Climate!$H$111,Climate!$E$111)&lt;Crops!$K$16,"C","O")))</f>
        <v>·</v>
      </c>
      <c r="DE18" s="142" t="str">
        <f aca="false">IF(IF(GlobalGH,Climate!$G$112,Climate!$D$112)&lt;=0,"·",IF(IF(GlobalGH,Climate!$I$112,Climate!$F$112)&gt;Crops!$M$16,"H",IF(IF(GlobalGH,Climate!$H$112,Climate!$E$112)&lt;Crops!$K$16,"C","O")))</f>
        <v>·</v>
      </c>
      <c r="DF18" s="143" t="n">
        <f aca="false">COUNTIF(B18:DE18,"O")</f>
        <v>33</v>
      </c>
      <c r="DG18" s="139" t="s">
        <v>421</v>
      </c>
    </row>
    <row r="19" customFormat="false" ht="15" hidden="false" customHeight="true" outlineLevel="0" collapsed="false">
      <c r="A19" s="141" t="str">
        <f aca="false">Crops!$B$17</f>
        <v>Pumpkin</v>
      </c>
      <c r="B19" s="142" t="str">
        <f aca="false">IF(IF(GlobalGH,Climate!$G$5,Climate!$D$5)&lt;=0,"·",IF(IF(GlobalGH,Climate!$I$5,Climate!$F$5)&gt;Crops!$M$17,"H",IF(IF(GlobalGH,Climate!$H$5,Climate!$E$5)&lt;Crops!$K$17,"C","O")))</f>
        <v>·</v>
      </c>
      <c r="C19" s="142" t="str">
        <f aca="false">IF(IF(GlobalGH,Climate!$G$6,Climate!$D$6)&lt;=0,"·",IF(IF(GlobalGH,Climate!$I$6,Climate!$F$6)&gt;Crops!$M$17,"H",IF(IF(GlobalGH,Climate!$H$6,Climate!$E$6)&lt;Crops!$K$17,"C","O")))</f>
        <v>·</v>
      </c>
      <c r="D19" s="142" t="str">
        <f aca="false">IF(IF(GlobalGH,Climate!$G$7,Climate!$D$7)&lt;=0,"·",IF(IF(GlobalGH,Climate!$I$7,Climate!$F$7)&gt;Crops!$M$17,"H",IF(IF(GlobalGH,Climate!$H$7,Climate!$E$7)&lt;Crops!$K$17,"C","O")))</f>
        <v>·</v>
      </c>
      <c r="E19" s="142" t="str">
        <f aca="false">IF(IF(GlobalGH,Climate!$G$8,Climate!$D$8)&lt;=0,"·",IF(IF(GlobalGH,Climate!$I$8,Climate!$F$8)&gt;Crops!$M$17,"H",IF(IF(GlobalGH,Climate!$H$8,Climate!$E$8)&lt;Crops!$K$17,"C","O")))</f>
        <v>·</v>
      </c>
      <c r="F19" s="142" t="str">
        <f aca="false">IF(IF(GlobalGH,Climate!$G$9,Climate!$D$9)&lt;=0,"·",IF(IF(GlobalGH,Climate!$I$9,Climate!$F$9)&gt;Crops!$M$17,"H",IF(IF(GlobalGH,Climate!$H$9,Climate!$E$9)&lt;Crops!$K$17,"C","O")))</f>
        <v>·</v>
      </c>
      <c r="G19" s="142" t="str">
        <f aca="false">IF(IF(GlobalGH,Climate!$G$10,Climate!$D$10)&lt;=0,"·",IF(IF(GlobalGH,Climate!$I$10,Climate!$F$10)&gt;Crops!$M$17,"H",IF(IF(GlobalGH,Climate!$H$10,Climate!$E$10)&lt;Crops!$K$17,"C","O")))</f>
        <v>·</v>
      </c>
      <c r="H19" s="142" t="str">
        <f aca="false">IF(IF(GlobalGH,Climate!$G$11,Climate!$D$11)&lt;=0,"·",IF(IF(GlobalGH,Climate!$I$11,Climate!$F$11)&gt;Crops!$M$17,"H",IF(IF(GlobalGH,Climate!$H$11,Climate!$E$11)&lt;Crops!$K$17,"C","O")))</f>
        <v>·</v>
      </c>
      <c r="I19" s="142" t="str">
        <f aca="false">IF(IF(GlobalGH,Climate!$G$12,Climate!$D$12)&lt;=0,"·",IF(IF(GlobalGH,Climate!$I$12,Climate!$F$12)&gt;Crops!$M$17,"H",IF(IF(GlobalGH,Climate!$H$12,Climate!$E$12)&lt;Crops!$K$17,"C","O")))</f>
        <v>·</v>
      </c>
      <c r="J19" s="142" t="str">
        <f aca="false">IF(IF(GlobalGH,Climate!$G$13,Climate!$D$13)&lt;=0,"·",IF(IF(GlobalGH,Climate!$I$13,Climate!$F$13)&gt;Crops!$M$17,"H",IF(IF(GlobalGH,Climate!$H$13,Climate!$E$13)&lt;Crops!$K$17,"C","O")))</f>
        <v>·</v>
      </c>
      <c r="K19" s="142" t="str">
        <f aca="false">IF(IF(GlobalGH,Climate!$G$14,Climate!$D$14)&lt;=0,"·",IF(IF(GlobalGH,Climate!$I$14,Climate!$F$14)&gt;Crops!$M$17,"H",IF(IF(GlobalGH,Climate!$H$14,Climate!$E$14)&lt;Crops!$K$17,"C","O")))</f>
        <v>·</v>
      </c>
      <c r="L19" s="142" t="str">
        <f aca="false">IF(IF(GlobalGH,Climate!$G$15,Climate!$D$15)&lt;=0,"·",IF(IF(GlobalGH,Climate!$I$15,Climate!$F$15)&gt;Crops!$M$17,"H",IF(IF(GlobalGH,Climate!$H$15,Climate!$E$15)&lt;Crops!$K$17,"C","O")))</f>
        <v>·</v>
      </c>
      <c r="M19" s="142" t="str">
        <f aca="false">IF(IF(GlobalGH,Climate!$G$16,Climate!$D$16)&lt;=0,"·",IF(IF(GlobalGH,Climate!$I$16,Climate!$F$16)&gt;Crops!$M$17,"H",IF(IF(GlobalGH,Climate!$H$16,Climate!$E$16)&lt;Crops!$K$17,"C","O")))</f>
        <v>·</v>
      </c>
      <c r="N19" s="142" t="str">
        <f aca="false">IF(IF(GlobalGH,Climate!$G$17,Climate!$D$17)&lt;=0,"·",IF(IF(GlobalGH,Climate!$I$17,Climate!$F$17)&gt;Crops!$M$17,"H",IF(IF(GlobalGH,Climate!$H$17,Climate!$E$17)&lt;Crops!$K$17,"C","O")))</f>
        <v>·</v>
      </c>
      <c r="O19" s="142" t="str">
        <f aca="false">IF(IF(GlobalGH,Climate!$G$18,Climate!$D$18)&lt;=0,"·",IF(IF(GlobalGH,Climate!$I$18,Climate!$F$18)&gt;Crops!$M$17,"H",IF(IF(GlobalGH,Climate!$H$18,Climate!$E$18)&lt;Crops!$K$17,"C","O")))</f>
        <v>·</v>
      </c>
      <c r="P19" s="142" t="str">
        <f aca="false">IF(IF(GlobalGH,Climate!$G$19,Climate!$D$19)&lt;=0,"·",IF(IF(GlobalGH,Climate!$I$19,Climate!$F$19)&gt;Crops!$M$17,"H",IF(IF(GlobalGH,Climate!$H$19,Climate!$E$19)&lt;Crops!$K$17,"C","O")))</f>
        <v>·</v>
      </c>
      <c r="Q19" s="142" t="str">
        <f aca="false">IF(IF(GlobalGH,Climate!$G$20,Climate!$D$20)&lt;=0,"·",IF(IF(GlobalGH,Climate!$I$20,Climate!$F$20)&gt;Crops!$M$17,"H",IF(IF(GlobalGH,Climate!$H$20,Climate!$E$20)&lt;Crops!$K$17,"C","O")))</f>
        <v>·</v>
      </c>
      <c r="R19" s="142" t="str">
        <f aca="false">IF(IF(GlobalGH,Climate!$G$21,Climate!$D$21)&lt;=0,"·",IF(IF(GlobalGH,Climate!$I$21,Climate!$F$21)&gt;Crops!$M$17,"H",IF(IF(GlobalGH,Climate!$H$21,Climate!$E$21)&lt;Crops!$K$17,"C","O")))</f>
        <v>·</v>
      </c>
      <c r="S19" s="142" t="str">
        <f aca="false">IF(IF(GlobalGH,Climate!$G$22,Climate!$D$22)&lt;=0,"·",IF(IF(GlobalGH,Climate!$I$22,Climate!$F$22)&gt;Crops!$M$17,"H",IF(IF(GlobalGH,Climate!$H$22,Climate!$E$22)&lt;Crops!$K$17,"C","O")))</f>
        <v>·</v>
      </c>
      <c r="T19" s="142" t="str">
        <f aca="false">IF(IF(GlobalGH,Climate!$G$23,Climate!$D$23)&lt;=0,"·",IF(IF(GlobalGH,Climate!$I$23,Climate!$F$23)&gt;Crops!$M$17,"H",IF(IF(GlobalGH,Climate!$H$23,Climate!$E$23)&lt;Crops!$K$17,"C","O")))</f>
        <v>·</v>
      </c>
      <c r="U19" s="142" t="str">
        <f aca="false">IF(IF(GlobalGH,Climate!$G$24,Climate!$D$24)&lt;=0,"·",IF(IF(GlobalGH,Climate!$I$24,Climate!$F$24)&gt;Crops!$M$17,"H",IF(IF(GlobalGH,Climate!$H$24,Climate!$E$24)&lt;Crops!$K$17,"C","O")))</f>
        <v>·</v>
      </c>
      <c r="V19" s="142" t="str">
        <f aca="false">IF(IF(GlobalGH,Climate!$G$25,Climate!$D$25)&lt;=0,"·",IF(IF(GlobalGH,Climate!$I$25,Climate!$F$25)&gt;Crops!$M$17,"H",IF(IF(GlobalGH,Climate!$H$25,Climate!$E$25)&lt;Crops!$K$17,"C","O")))</f>
        <v>·</v>
      </c>
      <c r="W19" s="142" t="str">
        <f aca="false">IF(IF(GlobalGH,Climate!$G$26,Climate!$D$26)&lt;=0,"·",IF(IF(GlobalGH,Climate!$I$26,Climate!$F$26)&gt;Crops!$M$17,"H",IF(IF(GlobalGH,Climate!$H$26,Climate!$E$26)&lt;Crops!$K$17,"C","O")))</f>
        <v>·</v>
      </c>
      <c r="X19" s="142" t="str">
        <f aca="false">IF(IF(GlobalGH,Climate!$G$27,Climate!$D$27)&lt;=0,"·",IF(IF(GlobalGH,Climate!$I$27,Climate!$F$27)&gt;Crops!$M$17,"H",IF(IF(GlobalGH,Climate!$H$27,Climate!$E$27)&lt;Crops!$K$17,"C","O")))</f>
        <v>·</v>
      </c>
      <c r="Y19" s="142" t="str">
        <f aca="false">IF(IF(GlobalGH,Climate!$G$28,Climate!$D$28)&lt;=0,"·",IF(IF(GlobalGH,Climate!$I$28,Climate!$F$28)&gt;Crops!$M$17,"H",IF(IF(GlobalGH,Climate!$H$28,Climate!$E$28)&lt;Crops!$K$17,"C","O")))</f>
        <v>·</v>
      </c>
      <c r="Z19" s="142" t="str">
        <f aca="false">IF(IF(GlobalGH,Climate!$G$29,Climate!$D$29)&lt;=0,"·",IF(IF(GlobalGH,Climate!$I$29,Climate!$F$29)&gt;Crops!$M$17,"H",IF(IF(GlobalGH,Climate!$H$29,Climate!$E$29)&lt;Crops!$K$17,"C","O")))</f>
        <v>·</v>
      </c>
      <c r="AA19" s="142" t="str">
        <f aca="false">IF(IF(GlobalGH,Climate!$G$30,Climate!$D$30)&lt;=0,"·",IF(IF(GlobalGH,Climate!$I$30,Climate!$F$30)&gt;Crops!$M$17,"H",IF(IF(GlobalGH,Climate!$H$30,Climate!$E$30)&lt;Crops!$K$17,"C","O")))</f>
        <v>·</v>
      </c>
      <c r="AB19" s="142" t="str">
        <f aca="false">IF(IF(GlobalGH,Climate!$G$31,Climate!$D$31)&lt;=0,"·",IF(IF(GlobalGH,Climate!$I$31,Climate!$F$31)&gt;Crops!$M$17,"H",IF(IF(GlobalGH,Climate!$H$31,Climate!$E$31)&lt;Crops!$K$17,"C","O")))</f>
        <v>·</v>
      </c>
      <c r="AC19" s="142" t="str">
        <f aca="false">IF(IF(GlobalGH,Climate!$G$32,Climate!$D$32)&lt;=0,"·",IF(IF(GlobalGH,Climate!$I$32,Climate!$F$32)&gt;Crops!$M$17,"H",IF(IF(GlobalGH,Climate!$H$32,Climate!$E$32)&lt;Crops!$K$17,"C","O")))</f>
        <v>·</v>
      </c>
      <c r="AD19" s="142" t="str">
        <f aca="false">IF(IF(GlobalGH,Climate!$G$33,Climate!$D$33)&lt;=0,"·",IF(IF(GlobalGH,Climate!$I$33,Climate!$F$33)&gt;Crops!$M$17,"H",IF(IF(GlobalGH,Climate!$H$33,Climate!$E$33)&lt;Crops!$K$17,"C","O")))</f>
        <v>·</v>
      </c>
      <c r="AE19" s="142" t="str">
        <f aca="false">IF(IF(GlobalGH,Climate!$G$34,Climate!$D$34)&lt;=0,"·",IF(IF(GlobalGH,Climate!$I$34,Climate!$F$34)&gt;Crops!$M$17,"H",IF(IF(GlobalGH,Climate!$H$34,Climate!$E$34)&lt;Crops!$K$17,"C","O")))</f>
        <v>·</v>
      </c>
      <c r="AF19" s="142" t="str">
        <f aca="false">IF(IF(GlobalGH,Climate!$G$35,Climate!$D$35)&lt;=0,"·",IF(IF(GlobalGH,Climate!$I$35,Climate!$F$35)&gt;Crops!$M$17,"H",IF(IF(GlobalGH,Climate!$H$35,Climate!$E$35)&lt;Crops!$K$17,"C","O")))</f>
        <v>·</v>
      </c>
      <c r="AG19" s="142" t="str">
        <f aca="false">IF(IF(GlobalGH,Climate!$G$36,Climate!$D$36)&lt;=0,"·",IF(IF(GlobalGH,Climate!$I$36,Climate!$F$36)&gt;Crops!$M$17,"H",IF(IF(GlobalGH,Climate!$H$36,Climate!$E$36)&lt;Crops!$K$17,"C","O")))</f>
        <v>·</v>
      </c>
      <c r="AH19" s="142" t="str">
        <f aca="false">IF(IF(GlobalGH,Climate!$G$37,Climate!$D$37)&lt;=0,"·",IF(IF(GlobalGH,Climate!$I$37,Climate!$F$37)&gt;Crops!$M$17,"H",IF(IF(GlobalGH,Climate!$H$37,Climate!$E$37)&lt;Crops!$K$17,"C","O")))</f>
        <v>·</v>
      </c>
      <c r="AI19" s="142" t="str">
        <f aca="false">IF(IF(GlobalGH,Climate!$G$38,Climate!$D$38)&lt;=0,"·",IF(IF(GlobalGH,Climate!$I$38,Climate!$F$38)&gt;Crops!$M$17,"H",IF(IF(GlobalGH,Climate!$H$38,Climate!$E$38)&lt;Crops!$K$17,"C","O")))</f>
        <v>C</v>
      </c>
      <c r="AJ19" s="142" t="str">
        <f aca="false">IF(IF(GlobalGH,Climate!$G$39,Climate!$D$39)&lt;=0,"·",IF(IF(GlobalGH,Climate!$I$39,Climate!$F$39)&gt;Crops!$M$17,"H",IF(IF(GlobalGH,Climate!$H$39,Climate!$E$39)&lt;Crops!$K$17,"C","O")))</f>
        <v>C</v>
      </c>
      <c r="AK19" s="142" t="str">
        <f aca="false">IF(IF(GlobalGH,Climate!$G$40,Climate!$D$40)&lt;=0,"·",IF(IF(GlobalGH,Climate!$I$40,Climate!$F$40)&gt;Crops!$M$17,"H",IF(IF(GlobalGH,Climate!$H$40,Climate!$E$40)&lt;Crops!$K$17,"C","O")))</f>
        <v>C</v>
      </c>
      <c r="AL19" s="142" t="str">
        <f aca="false">IF(IF(GlobalGH,Climate!$G$41,Climate!$D$41)&lt;=0,"·",IF(IF(GlobalGH,Climate!$I$41,Climate!$F$41)&gt;Crops!$M$17,"H",IF(IF(GlobalGH,Climate!$H$41,Climate!$E$41)&lt;Crops!$K$17,"C","O")))</f>
        <v>C</v>
      </c>
      <c r="AM19" s="142" t="str">
        <f aca="false">IF(IF(GlobalGH,Climate!$G$42,Climate!$D$42)&lt;=0,"·",IF(IF(GlobalGH,Climate!$I$42,Climate!$F$42)&gt;Crops!$M$17,"H",IF(IF(GlobalGH,Climate!$H$42,Climate!$E$42)&lt;Crops!$K$17,"C","O")))</f>
        <v>C</v>
      </c>
      <c r="AN19" s="142" t="str">
        <f aca="false">IF(IF(GlobalGH,Climate!$G$43,Climate!$D$43)&lt;=0,"·",IF(IF(GlobalGH,Climate!$I$43,Climate!$F$43)&gt;Crops!$M$17,"H",IF(IF(GlobalGH,Climate!$H$43,Climate!$E$43)&lt;Crops!$K$17,"C","O")))</f>
        <v>C</v>
      </c>
      <c r="AO19" s="142" t="str">
        <f aca="false">IF(IF(GlobalGH,Climate!$G$44,Climate!$D$44)&lt;=0,"·",IF(IF(GlobalGH,Climate!$I$44,Climate!$F$44)&gt;Crops!$M$17,"H",IF(IF(GlobalGH,Climate!$H$44,Climate!$E$44)&lt;Crops!$K$17,"C","O")))</f>
        <v>C</v>
      </c>
      <c r="AP19" s="142" t="str">
        <f aca="false">IF(IF(GlobalGH,Climate!$G$45,Climate!$D$45)&lt;=0,"·",IF(IF(GlobalGH,Climate!$I$45,Climate!$F$45)&gt;Crops!$M$17,"H",IF(IF(GlobalGH,Climate!$H$45,Climate!$E$45)&lt;Crops!$K$17,"C","O")))</f>
        <v>C</v>
      </c>
      <c r="AQ19" s="142" t="str">
        <f aca="false">IF(IF(GlobalGH,Climate!$G$46,Climate!$D$46)&lt;=0,"·",IF(IF(GlobalGH,Climate!$I$46,Climate!$F$46)&gt;Crops!$M$17,"H",IF(IF(GlobalGH,Climate!$H$46,Climate!$E$46)&lt;Crops!$K$17,"C","O")))</f>
        <v>C</v>
      </c>
      <c r="AR19" s="142" t="str">
        <f aca="false">IF(IF(GlobalGH,Climate!$G$47,Climate!$D$47)&lt;=0,"·",IF(IF(GlobalGH,Climate!$I$47,Climate!$F$47)&gt;Crops!$M$17,"H",IF(IF(GlobalGH,Climate!$H$47,Climate!$E$47)&lt;Crops!$K$17,"C","O")))</f>
        <v>O</v>
      </c>
      <c r="AS19" s="142" t="str">
        <f aca="false">IF(IF(GlobalGH,Climate!$G$48,Climate!$D$48)&lt;=0,"·",IF(IF(GlobalGH,Climate!$I$48,Climate!$F$48)&gt;Crops!$M$17,"H",IF(IF(GlobalGH,Climate!$H$48,Climate!$E$48)&lt;Crops!$K$17,"C","O")))</f>
        <v>O</v>
      </c>
      <c r="AT19" s="142" t="str">
        <f aca="false">IF(IF(GlobalGH,Climate!$G$49,Climate!$D$49)&lt;=0,"·",IF(IF(GlobalGH,Climate!$I$49,Climate!$F$49)&gt;Crops!$M$17,"H",IF(IF(GlobalGH,Climate!$H$49,Climate!$E$49)&lt;Crops!$K$17,"C","O")))</f>
        <v>O</v>
      </c>
      <c r="AU19" s="142" t="str">
        <f aca="false">IF(IF(GlobalGH,Climate!$G$50,Climate!$D$50)&lt;=0,"·",IF(IF(GlobalGH,Climate!$I$50,Climate!$F$50)&gt;Crops!$M$17,"H",IF(IF(GlobalGH,Climate!$H$50,Climate!$E$50)&lt;Crops!$K$17,"C","O")))</f>
        <v>O</v>
      </c>
      <c r="AV19" s="142" t="str">
        <f aca="false">IF(IF(GlobalGH,Climate!$G$51,Climate!$D$51)&lt;=0,"·",IF(IF(GlobalGH,Climate!$I$51,Climate!$F$51)&gt;Crops!$M$17,"H",IF(IF(GlobalGH,Climate!$H$51,Climate!$E$51)&lt;Crops!$K$17,"C","O")))</f>
        <v>O</v>
      </c>
      <c r="AW19" s="142" t="str">
        <f aca="false">IF(IF(GlobalGH,Climate!$G$52,Climate!$D$52)&lt;=0,"·",IF(IF(GlobalGH,Climate!$I$52,Climate!$F$52)&gt;Crops!$M$17,"H",IF(IF(GlobalGH,Climate!$H$52,Climate!$E$52)&lt;Crops!$K$17,"C","O")))</f>
        <v>O</v>
      </c>
      <c r="AX19" s="142" t="str">
        <f aca="false">IF(IF(GlobalGH,Climate!$G$53,Climate!$D$53)&lt;=0,"·",IF(IF(GlobalGH,Climate!$I$53,Climate!$F$53)&gt;Crops!$M$17,"H",IF(IF(GlobalGH,Climate!$H$53,Climate!$E$53)&lt;Crops!$K$17,"C","O")))</f>
        <v>O</v>
      </c>
      <c r="AY19" s="142" t="str">
        <f aca="false">IF(IF(GlobalGH,Climate!$G$54,Climate!$D$54)&lt;=0,"·",IF(IF(GlobalGH,Climate!$I$54,Climate!$F$54)&gt;Crops!$M$17,"H",IF(IF(GlobalGH,Climate!$H$54,Climate!$E$54)&lt;Crops!$K$17,"C","O")))</f>
        <v>O</v>
      </c>
      <c r="AZ19" s="142" t="str">
        <f aca="false">IF(IF(GlobalGH,Climate!$G$55,Climate!$D$55)&lt;=0,"·",IF(IF(GlobalGH,Climate!$I$55,Climate!$F$55)&gt;Crops!$M$17,"H",IF(IF(GlobalGH,Climate!$H$55,Climate!$E$55)&lt;Crops!$K$17,"C","O")))</f>
        <v>O</v>
      </c>
      <c r="BA19" s="142" t="str">
        <f aca="false">IF(IF(GlobalGH,Climate!$G$56,Climate!$D$56)&lt;=0,"·",IF(IF(GlobalGH,Climate!$I$56,Climate!$F$56)&gt;Crops!$M$17,"H",IF(IF(GlobalGH,Climate!$H$56,Climate!$E$56)&lt;Crops!$K$17,"C","O")))</f>
        <v>O</v>
      </c>
      <c r="BB19" s="142" t="str">
        <f aca="false">IF(IF(GlobalGH,Climate!$G$57,Climate!$D$57)&lt;=0,"·",IF(IF(GlobalGH,Climate!$I$57,Climate!$F$57)&gt;Crops!$M$17,"H",IF(IF(GlobalGH,Climate!$H$57,Climate!$E$57)&lt;Crops!$K$17,"C","O")))</f>
        <v>O</v>
      </c>
      <c r="BC19" s="142" t="str">
        <f aca="false">IF(IF(GlobalGH,Climate!$G$58,Climate!$D$58)&lt;=0,"·",IF(IF(GlobalGH,Climate!$I$58,Climate!$F$58)&gt;Crops!$M$17,"H",IF(IF(GlobalGH,Climate!$H$58,Climate!$E$58)&lt;Crops!$K$17,"C","O")))</f>
        <v>O</v>
      </c>
      <c r="BD19" s="142" t="str">
        <f aca="false">IF(IF(GlobalGH,Climate!$G$59,Climate!$D$59)&lt;=0,"·",IF(IF(GlobalGH,Climate!$I$59,Climate!$F$59)&gt;Crops!$M$17,"H",IF(IF(GlobalGH,Climate!$H$59,Climate!$E$59)&lt;Crops!$K$17,"C","O")))</f>
        <v>O</v>
      </c>
      <c r="BE19" s="142" t="str">
        <f aca="false">IF(IF(GlobalGH,Climate!$G$60,Climate!$D$60)&lt;=0,"·",IF(IF(GlobalGH,Climate!$I$60,Climate!$F$60)&gt;Crops!$M$17,"H",IF(IF(GlobalGH,Climate!$H$60,Climate!$E$60)&lt;Crops!$K$17,"C","O")))</f>
        <v>O</v>
      </c>
      <c r="BF19" s="142" t="str">
        <f aca="false">IF(IF(GlobalGH,Climate!$G$61,Climate!$D$61)&lt;=0,"·",IF(IF(GlobalGH,Climate!$I$61,Climate!$F$61)&gt;Crops!$M$17,"H",IF(IF(GlobalGH,Climate!$H$61,Climate!$E$61)&lt;Crops!$K$17,"C","O")))</f>
        <v>O</v>
      </c>
      <c r="BG19" s="142" t="str">
        <f aca="false">IF(IF(GlobalGH,Climate!$G$62,Climate!$D$62)&lt;=0,"·",IF(IF(GlobalGH,Climate!$I$62,Climate!$F$62)&gt;Crops!$M$17,"H",IF(IF(GlobalGH,Climate!$H$62,Climate!$E$62)&lt;Crops!$K$17,"C","O")))</f>
        <v>O</v>
      </c>
      <c r="BH19" s="142" t="str">
        <f aca="false">IF(IF(GlobalGH,Climate!$G$63,Climate!$D$63)&lt;=0,"·",IF(IF(GlobalGH,Climate!$I$63,Climate!$F$63)&gt;Crops!$M$17,"H",IF(IF(GlobalGH,Climate!$H$63,Climate!$E$63)&lt;Crops!$K$17,"C","O")))</f>
        <v>O</v>
      </c>
      <c r="BI19" s="142" t="str">
        <f aca="false">IF(IF(GlobalGH,Climate!$G$64,Climate!$D$64)&lt;=0,"·",IF(IF(GlobalGH,Climate!$I$64,Climate!$F$64)&gt;Crops!$M$17,"H",IF(IF(GlobalGH,Climate!$H$64,Climate!$E$64)&lt;Crops!$K$17,"C","O")))</f>
        <v>O</v>
      </c>
      <c r="BJ19" s="142" t="str">
        <f aca="false">IF(IF(GlobalGH,Climate!$G$65,Climate!$D$65)&lt;=0,"·",IF(IF(GlobalGH,Climate!$I$65,Climate!$F$65)&gt;Crops!$M$17,"H",IF(IF(GlobalGH,Climate!$H$65,Climate!$E$65)&lt;Crops!$K$17,"C","O")))</f>
        <v>O</v>
      </c>
      <c r="BK19" s="142" t="str">
        <f aca="false">IF(IF(GlobalGH,Climate!$G$66,Climate!$D$66)&lt;=0,"·",IF(IF(GlobalGH,Climate!$I$66,Climate!$F$66)&gt;Crops!$M$17,"H",IF(IF(GlobalGH,Climate!$H$66,Climate!$E$66)&lt;Crops!$K$17,"C","O")))</f>
        <v>O</v>
      </c>
      <c r="BL19" s="142" t="str">
        <f aca="false">IF(IF(GlobalGH,Climate!$G$67,Climate!$D$67)&lt;=0,"·",IF(IF(GlobalGH,Climate!$I$67,Climate!$F$67)&gt;Crops!$M$17,"H",IF(IF(GlobalGH,Climate!$H$67,Climate!$E$67)&lt;Crops!$K$17,"C","O")))</f>
        <v>O</v>
      </c>
      <c r="BM19" s="142" t="str">
        <f aca="false">IF(IF(GlobalGH,Climate!$G$68,Climate!$D$68)&lt;=0,"·",IF(IF(GlobalGH,Climate!$I$68,Climate!$F$68)&gt;Crops!$M$17,"H",IF(IF(GlobalGH,Climate!$H$68,Climate!$E$68)&lt;Crops!$K$17,"C","O")))</f>
        <v>O</v>
      </c>
      <c r="BN19" s="142" t="str">
        <f aca="false">IF(IF(GlobalGH,Climate!$G$69,Climate!$D$69)&lt;=0,"·",IF(IF(GlobalGH,Climate!$I$69,Climate!$F$69)&gt;Crops!$M$17,"H",IF(IF(GlobalGH,Climate!$H$69,Climate!$E$69)&lt;Crops!$K$17,"C","O")))</f>
        <v>O</v>
      </c>
      <c r="BO19" s="142" t="str">
        <f aca="false">IF(IF(GlobalGH,Climate!$G$70,Climate!$D$70)&lt;=0,"·",IF(IF(GlobalGH,Climate!$I$70,Climate!$F$70)&gt;Crops!$M$17,"H",IF(IF(GlobalGH,Climate!$H$70,Climate!$E$70)&lt;Crops!$K$17,"C","O")))</f>
        <v>O</v>
      </c>
      <c r="BP19" s="142" t="str">
        <f aca="false">IF(IF(GlobalGH,Climate!$G$71,Climate!$D$71)&lt;=0,"·",IF(IF(GlobalGH,Climate!$I$71,Climate!$F$71)&gt;Crops!$M$17,"H",IF(IF(GlobalGH,Climate!$H$71,Climate!$E$71)&lt;Crops!$K$17,"C","O")))</f>
        <v>O</v>
      </c>
      <c r="BQ19" s="142" t="str">
        <f aca="false">IF(IF(GlobalGH,Climate!$G$72,Climate!$D$72)&lt;=0,"·",IF(IF(GlobalGH,Climate!$I$72,Climate!$F$72)&gt;Crops!$M$17,"H",IF(IF(GlobalGH,Climate!$H$72,Climate!$E$72)&lt;Crops!$K$17,"C","O")))</f>
        <v>O</v>
      </c>
      <c r="BR19" s="142" t="str">
        <f aca="false">IF(IF(GlobalGH,Climate!$G$73,Climate!$D$73)&lt;=0,"·",IF(IF(GlobalGH,Climate!$I$73,Climate!$F$73)&gt;Crops!$M$17,"H",IF(IF(GlobalGH,Climate!$H$73,Climate!$E$73)&lt;Crops!$K$17,"C","O")))</f>
        <v>O</v>
      </c>
      <c r="BS19" s="142" t="str">
        <f aca="false">IF(IF(GlobalGH,Climate!$G$74,Climate!$D$74)&lt;=0,"·",IF(IF(GlobalGH,Climate!$I$74,Climate!$F$74)&gt;Crops!$M$17,"H",IF(IF(GlobalGH,Climate!$H$74,Climate!$E$74)&lt;Crops!$K$17,"C","O")))</f>
        <v>O</v>
      </c>
      <c r="BT19" s="142" t="str">
        <f aca="false">IF(IF(GlobalGH,Climate!$G$75,Climate!$D$75)&lt;=0,"·",IF(IF(GlobalGH,Climate!$I$75,Climate!$F$75)&gt;Crops!$M$17,"H",IF(IF(GlobalGH,Climate!$H$75,Climate!$E$75)&lt;Crops!$K$17,"C","O")))</f>
        <v>O</v>
      </c>
      <c r="BU19" s="142" t="str">
        <f aca="false">IF(IF(GlobalGH,Climate!$G$76,Climate!$D$76)&lt;=0,"·",IF(IF(GlobalGH,Climate!$I$76,Climate!$F$76)&gt;Crops!$M$17,"H",IF(IF(GlobalGH,Climate!$H$76,Climate!$E$76)&lt;Crops!$K$17,"C","O")))</f>
        <v>O</v>
      </c>
      <c r="BV19" s="142" t="str">
        <f aca="false">IF(IF(GlobalGH,Climate!$G$77,Climate!$D$77)&lt;=0,"·",IF(IF(GlobalGH,Climate!$I$77,Climate!$F$77)&gt;Crops!$M$17,"H",IF(IF(GlobalGH,Climate!$H$77,Climate!$E$77)&lt;Crops!$K$17,"C","O")))</f>
        <v>O</v>
      </c>
      <c r="BW19" s="142" t="str">
        <f aca="false">IF(IF(GlobalGH,Climate!$G$78,Climate!$D$78)&lt;=0,"·",IF(IF(GlobalGH,Climate!$I$78,Climate!$F$78)&gt;Crops!$M$17,"H",IF(IF(GlobalGH,Climate!$H$78,Climate!$E$78)&lt;Crops!$K$17,"C","O")))</f>
        <v>O</v>
      </c>
      <c r="BX19" s="142" t="str">
        <f aca="false">IF(IF(GlobalGH,Climate!$G$79,Climate!$D$79)&lt;=0,"·",IF(IF(GlobalGH,Climate!$I$79,Climate!$F$79)&gt;Crops!$M$17,"H",IF(IF(GlobalGH,Climate!$H$79,Climate!$E$79)&lt;Crops!$K$17,"C","O")))</f>
        <v>C</v>
      </c>
      <c r="BY19" s="142" t="str">
        <f aca="false">IF(IF(GlobalGH,Climate!$G$80,Climate!$D$80)&lt;=0,"·",IF(IF(GlobalGH,Climate!$I$80,Climate!$F$80)&gt;Crops!$M$17,"H",IF(IF(GlobalGH,Climate!$H$80,Climate!$E$80)&lt;Crops!$K$17,"C","O")))</f>
        <v>O</v>
      </c>
      <c r="BZ19" s="142" t="str">
        <f aca="false">IF(IF(GlobalGH,Climate!$G$81,Climate!$D$81)&lt;=0,"·",IF(IF(GlobalGH,Climate!$I$81,Climate!$F$81)&gt;Crops!$M$17,"H",IF(IF(GlobalGH,Climate!$H$81,Climate!$E$81)&lt;Crops!$K$17,"C","O")))</f>
        <v>C</v>
      </c>
      <c r="CA19" s="142" t="str">
        <f aca="false">IF(IF(GlobalGH,Climate!$G$82,Climate!$D$82)&lt;=0,"·",IF(IF(GlobalGH,Climate!$I$82,Climate!$F$82)&gt;Crops!$M$17,"H",IF(IF(GlobalGH,Climate!$H$82,Climate!$E$82)&lt;Crops!$K$17,"C","O")))</f>
        <v>C</v>
      </c>
      <c r="CB19" s="142" t="str">
        <f aca="false">IF(IF(GlobalGH,Climate!$G$83,Climate!$D$83)&lt;=0,"·",IF(IF(GlobalGH,Climate!$I$83,Climate!$F$83)&gt;Crops!$M$17,"H",IF(IF(GlobalGH,Climate!$H$83,Climate!$E$83)&lt;Crops!$K$17,"C","O")))</f>
        <v>C</v>
      </c>
      <c r="CC19" s="142" t="str">
        <f aca="false">IF(IF(GlobalGH,Climate!$G$84,Climate!$D$84)&lt;=0,"·",IF(IF(GlobalGH,Climate!$I$84,Climate!$F$84)&gt;Crops!$M$17,"H",IF(IF(GlobalGH,Climate!$H$84,Climate!$E$84)&lt;Crops!$K$17,"C","O")))</f>
        <v>C</v>
      </c>
      <c r="CD19" s="142" t="str">
        <f aca="false">IF(IF(GlobalGH,Climate!$G$85,Climate!$D$85)&lt;=0,"·",IF(IF(GlobalGH,Climate!$I$85,Climate!$F$85)&gt;Crops!$M$17,"H",IF(IF(GlobalGH,Climate!$H$85,Climate!$E$85)&lt;Crops!$K$17,"C","O")))</f>
        <v>C</v>
      </c>
      <c r="CE19" s="142" t="str">
        <f aca="false">IF(IF(GlobalGH,Climate!$G$86,Climate!$D$86)&lt;=0,"·",IF(IF(GlobalGH,Climate!$I$86,Climate!$F$86)&gt;Crops!$M$17,"H",IF(IF(GlobalGH,Climate!$H$86,Climate!$E$86)&lt;Crops!$K$17,"C","O")))</f>
        <v>C</v>
      </c>
      <c r="CF19" s="142" t="str">
        <f aca="false">IF(IF(GlobalGH,Climate!$G$87,Climate!$D$87)&lt;=0,"·",IF(IF(GlobalGH,Climate!$I$87,Climate!$F$87)&gt;Crops!$M$17,"H",IF(IF(GlobalGH,Climate!$H$87,Climate!$E$87)&lt;Crops!$K$17,"C","O")))</f>
        <v>C</v>
      </c>
      <c r="CG19" s="142" t="str">
        <f aca="false">IF(IF(GlobalGH,Climate!$G$88,Climate!$D$88)&lt;=0,"·",IF(IF(GlobalGH,Climate!$I$88,Climate!$F$88)&gt;Crops!$M$17,"H",IF(IF(GlobalGH,Climate!$H$88,Climate!$E$88)&lt;Crops!$K$17,"C","O")))</f>
        <v>·</v>
      </c>
      <c r="CH19" s="142" t="str">
        <f aca="false">IF(IF(GlobalGH,Climate!$G$89,Climate!$D$89)&lt;=0,"·",IF(IF(GlobalGH,Climate!$I$89,Climate!$F$89)&gt;Crops!$M$17,"H",IF(IF(GlobalGH,Climate!$H$89,Climate!$E$89)&lt;Crops!$K$17,"C","O")))</f>
        <v>·</v>
      </c>
      <c r="CI19" s="142" t="str">
        <f aca="false">IF(IF(GlobalGH,Climate!$G$90,Climate!$D$90)&lt;=0,"·",IF(IF(GlobalGH,Climate!$I$90,Climate!$F$90)&gt;Crops!$M$17,"H",IF(IF(GlobalGH,Climate!$H$90,Climate!$E$90)&lt;Crops!$K$17,"C","O")))</f>
        <v>·</v>
      </c>
      <c r="CJ19" s="142" t="str">
        <f aca="false">IF(IF(GlobalGH,Climate!$G$91,Climate!$D$91)&lt;=0,"·",IF(IF(GlobalGH,Climate!$I$91,Climate!$F$91)&gt;Crops!$M$17,"H",IF(IF(GlobalGH,Climate!$H$91,Climate!$E$91)&lt;Crops!$K$17,"C","O")))</f>
        <v>·</v>
      </c>
      <c r="CK19" s="142" t="str">
        <f aca="false">IF(IF(GlobalGH,Climate!$G$92,Climate!$D$92)&lt;=0,"·",IF(IF(GlobalGH,Climate!$I$92,Climate!$F$92)&gt;Crops!$M$17,"H",IF(IF(GlobalGH,Climate!$H$92,Climate!$E$92)&lt;Crops!$K$17,"C","O")))</f>
        <v>·</v>
      </c>
      <c r="CL19" s="142" t="str">
        <f aca="false">IF(IF(GlobalGH,Climate!$G$93,Climate!$D$93)&lt;=0,"·",IF(IF(GlobalGH,Climate!$I$93,Climate!$F$93)&gt;Crops!$M$17,"H",IF(IF(GlobalGH,Climate!$H$93,Climate!$E$93)&lt;Crops!$K$17,"C","O")))</f>
        <v>·</v>
      </c>
      <c r="CM19" s="142" t="str">
        <f aca="false">IF(IF(GlobalGH,Climate!$G$94,Climate!$D$94)&lt;=0,"·",IF(IF(GlobalGH,Climate!$I$94,Climate!$F$94)&gt;Crops!$M$17,"H",IF(IF(GlobalGH,Climate!$H$94,Climate!$E$94)&lt;Crops!$K$17,"C","O")))</f>
        <v>·</v>
      </c>
      <c r="CN19" s="142" t="str">
        <f aca="false">IF(IF(GlobalGH,Climate!$G$95,Climate!$D$95)&lt;=0,"·",IF(IF(GlobalGH,Climate!$I$95,Climate!$F$95)&gt;Crops!$M$17,"H",IF(IF(GlobalGH,Climate!$H$95,Climate!$E$95)&lt;Crops!$K$17,"C","O")))</f>
        <v>·</v>
      </c>
      <c r="CO19" s="142" t="str">
        <f aca="false">IF(IF(GlobalGH,Climate!$G$96,Climate!$D$96)&lt;=0,"·",IF(IF(GlobalGH,Climate!$I$96,Climate!$F$96)&gt;Crops!$M$17,"H",IF(IF(GlobalGH,Climate!$H$96,Climate!$E$96)&lt;Crops!$K$17,"C","O")))</f>
        <v>·</v>
      </c>
      <c r="CP19" s="142" t="str">
        <f aca="false">IF(IF(GlobalGH,Climate!$G$97,Climate!$D$97)&lt;=0,"·",IF(IF(GlobalGH,Climate!$I$97,Climate!$F$97)&gt;Crops!$M$17,"H",IF(IF(GlobalGH,Climate!$H$97,Climate!$E$97)&lt;Crops!$K$17,"C","O")))</f>
        <v>·</v>
      </c>
      <c r="CQ19" s="142" t="str">
        <f aca="false">IF(IF(GlobalGH,Climate!$G$98,Climate!$D$98)&lt;=0,"·",IF(IF(GlobalGH,Climate!$I$98,Climate!$F$98)&gt;Crops!$M$17,"H",IF(IF(GlobalGH,Climate!$H$98,Climate!$E$98)&lt;Crops!$K$17,"C","O")))</f>
        <v>·</v>
      </c>
      <c r="CR19" s="142" t="str">
        <f aca="false">IF(IF(GlobalGH,Climate!$G$99,Climate!$D$99)&lt;=0,"·",IF(IF(GlobalGH,Climate!$I$99,Climate!$F$99)&gt;Crops!$M$17,"H",IF(IF(GlobalGH,Climate!$H$99,Climate!$E$99)&lt;Crops!$K$17,"C","O")))</f>
        <v>·</v>
      </c>
      <c r="CS19" s="142" t="str">
        <f aca="false">IF(IF(GlobalGH,Climate!$G$100,Climate!$D$100)&lt;=0,"·",IF(IF(GlobalGH,Climate!$I$100,Climate!$F$100)&gt;Crops!$M$17,"H",IF(IF(GlobalGH,Climate!$H$100,Climate!$E$100)&lt;Crops!$K$17,"C","O")))</f>
        <v>·</v>
      </c>
      <c r="CT19" s="142" t="str">
        <f aca="false">IF(IF(GlobalGH,Climate!$G$101,Climate!$D$101)&lt;=0,"·",IF(IF(GlobalGH,Climate!$I$101,Climate!$F$101)&gt;Crops!$M$17,"H",IF(IF(GlobalGH,Climate!$H$101,Climate!$E$101)&lt;Crops!$K$17,"C","O")))</f>
        <v>·</v>
      </c>
      <c r="CU19" s="142" t="str">
        <f aca="false">IF(IF(GlobalGH,Climate!$G$102,Climate!$D$102)&lt;=0,"·",IF(IF(GlobalGH,Climate!$I$102,Climate!$F$102)&gt;Crops!$M$17,"H",IF(IF(GlobalGH,Climate!$H$102,Climate!$E$102)&lt;Crops!$K$17,"C","O")))</f>
        <v>·</v>
      </c>
      <c r="CV19" s="142" t="str">
        <f aca="false">IF(IF(GlobalGH,Climate!$G$103,Climate!$D$103)&lt;=0,"·",IF(IF(GlobalGH,Climate!$I$103,Climate!$F$103)&gt;Crops!$M$17,"H",IF(IF(GlobalGH,Climate!$H$103,Climate!$E$103)&lt;Crops!$K$17,"C","O")))</f>
        <v>·</v>
      </c>
      <c r="CW19" s="142" t="str">
        <f aca="false">IF(IF(GlobalGH,Climate!$G$104,Climate!$D$104)&lt;=0,"·",IF(IF(GlobalGH,Climate!$I$104,Climate!$F$104)&gt;Crops!$M$17,"H",IF(IF(GlobalGH,Climate!$H$104,Climate!$E$104)&lt;Crops!$K$17,"C","O")))</f>
        <v>·</v>
      </c>
      <c r="CX19" s="142" t="str">
        <f aca="false">IF(IF(GlobalGH,Climate!$G$105,Climate!$D$105)&lt;=0,"·",IF(IF(GlobalGH,Climate!$I$105,Climate!$F$105)&gt;Crops!$M$17,"H",IF(IF(GlobalGH,Climate!$H$105,Climate!$E$105)&lt;Crops!$K$17,"C","O")))</f>
        <v>·</v>
      </c>
      <c r="CY19" s="142" t="str">
        <f aca="false">IF(IF(GlobalGH,Climate!$G$106,Climate!$D$106)&lt;=0,"·",IF(IF(GlobalGH,Climate!$I$106,Climate!$F$106)&gt;Crops!$M$17,"H",IF(IF(GlobalGH,Climate!$H$106,Climate!$E$106)&lt;Crops!$K$17,"C","O")))</f>
        <v>·</v>
      </c>
      <c r="CZ19" s="142" t="str">
        <f aca="false">IF(IF(GlobalGH,Climate!$G$107,Climate!$D$107)&lt;=0,"·",IF(IF(GlobalGH,Climate!$I$107,Climate!$F$107)&gt;Crops!$M$17,"H",IF(IF(GlobalGH,Climate!$H$107,Climate!$E$107)&lt;Crops!$K$17,"C","O")))</f>
        <v>·</v>
      </c>
      <c r="DA19" s="142" t="str">
        <f aca="false">IF(IF(GlobalGH,Climate!$G$108,Climate!$D$108)&lt;=0,"·",IF(IF(GlobalGH,Climate!$I$108,Climate!$F$108)&gt;Crops!$M$17,"H",IF(IF(GlobalGH,Climate!$H$108,Climate!$E$108)&lt;Crops!$K$17,"C","O")))</f>
        <v>·</v>
      </c>
      <c r="DB19" s="142" t="str">
        <f aca="false">IF(IF(GlobalGH,Climate!$G$109,Climate!$D$109)&lt;=0,"·",IF(IF(GlobalGH,Climate!$I$109,Climate!$F$109)&gt;Crops!$M$17,"H",IF(IF(GlobalGH,Climate!$H$109,Climate!$E$109)&lt;Crops!$K$17,"C","O")))</f>
        <v>·</v>
      </c>
      <c r="DC19" s="142" t="str">
        <f aca="false">IF(IF(GlobalGH,Climate!$G$110,Climate!$D$110)&lt;=0,"·",IF(IF(GlobalGH,Climate!$I$110,Climate!$F$110)&gt;Crops!$M$17,"H",IF(IF(GlobalGH,Climate!$H$110,Climate!$E$110)&lt;Crops!$K$17,"C","O")))</f>
        <v>·</v>
      </c>
      <c r="DD19" s="142" t="str">
        <f aca="false">IF(IF(GlobalGH,Climate!$G$111,Climate!$D$111)&lt;=0,"·",IF(IF(GlobalGH,Climate!$I$111,Climate!$F$111)&gt;Crops!$M$17,"H",IF(IF(GlobalGH,Climate!$H$111,Climate!$E$111)&lt;Crops!$K$17,"C","O")))</f>
        <v>·</v>
      </c>
      <c r="DE19" s="142" t="str">
        <f aca="false">IF(IF(GlobalGH,Climate!$G$112,Climate!$D$112)&lt;=0,"·",IF(IF(GlobalGH,Climate!$I$112,Climate!$F$112)&gt;Crops!$M$17,"H",IF(IF(GlobalGH,Climate!$H$112,Climate!$E$112)&lt;Crops!$K$17,"C","O")))</f>
        <v>·</v>
      </c>
      <c r="DF19" s="143" t="n">
        <f aca="false">COUNTIF(B19:DE19,"O")</f>
        <v>33</v>
      </c>
      <c r="DG19" s="139" t="s">
        <v>421</v>
      </c>
    </row>
    <row r="20" customFormat="false" ht="15" hidden="false" customHeight="true" outlineLevel="0" collapsed="false">
      <c r="A20" s="144" t="str">
        <f aca="false">Crops!$B$18</f>
        <v>Amaranth</v>
      </c>
      <c r="B20" s="142" t="str">
        <f aca="false">IF(IF(GlobalGH,Climate!$G$5,Climate!$D$5)&lt;=0,"·",IF(IF(GlobalGH,Climate!$I$5,Climate!$F$5)&gt;Crops!$M$18,"H",IF(IF(GlobalGH,Climate!$H$5,Climate!$E$5)&lt;Crops!$K$18,"C","O")))</f>
        <v>·</v>
      </c>
      <c r="C20" s="142" t="str">
        <f aca="false">IF(IF(GlobalGH,Climate!$G$6,Climate!$D$6)&lt;=0,"·",IF(IF(GlobalGH,Climate!$I$6,Climate!$F$6)&gt;Crops!$M$18,"H",IF(IF(GlobalGH,Climate!$H$6,Climate!$E$6)&lt;Crops!$K$18,"C","O")))</f>
        <v>·</v>
      </c>
      <c r="D20" s="142" t="str">
        <f aca="false">IF(IF(GlobalGH,Climate!$G$7,Climate!$D$7)&lt;=0,"·",IF(IF(GlobalGH,Climate!$I$7,Climate!$F$7)&gt;Crops!$M$18,"H",IF(IF(GlobalGH,Climate!$H$7,Climate!$E$7)&lt;Crops!$K$18,"C","O")))</f>
        <v>·</v>
      </c>
      <c r="E20" s="142" t="str">
        <f aca="false">IF(IF(GlobalGH,Climate!$G$8,Climate!$D$8)&lt;=0,"·",IF(IF(GlobalGH,Climate!$I$8,Climate!$F$8)&gt;Crops!$M$18,"H",IF(IF(GlobalGH,Climate!$H$8,Climate!$E$8)&lt;Crops!$K$18,"C","O")))</f>
        <v>·</v>
      </c>
      <c r="F20" s="142" t="str">
        <f aca="false">IF(IF(GlobalGH,Climate!$G$9,Climate!$D$9)&lt;=0,"·",IF(IF(GlobalGH,Climate!$I$9,Climate!$F$9)&gt;Crops!$M$18,"H",IF(IF(GlobalGH,Climate!$H$9,Climate!$E$9)&lt;Crops!$K$18,"C","O")))</f>
        <v>·</v>
      </c>
      <c r="G20" s="142" t="str">
        <f aca="false">IF(IF(GlobalGH,Climate!$G$10,Climate!$D$10)&lt;=0,"·",IF(IF(GlobalGH,Climate!$I$10,Climate!$F$10)&gt;Crops!$M$18,"H",IF(IF(GlobalGH,Climate!$H$10,Climate!$E$10)&lt;Crops!$K$18,"C","O")))</f>
        <v>·</v>
      </c>
      <c r="H20" s="142" t="str">
        <f aca="false">IF(IF(GlobalGH,Climate!$G$11,Climate!$D$11)&lt;=0,"·",IF(IF(GlobalGH,Climate!$I$11,Climate!$F$11)&gt;Crops!$M$18,"H",IF(IF(GlobalGH,Climate!$H$11,Climate!$E$11)&lt;Crops!$K$18,"C","O")))</f>
        <v>·</v>
      </c>
      <c r="I20" s="142" t="str">
        <f aca="false">IF(IF(GlobalGH,Climate!$G$12,Climate!$D$12)&lt;=0,"·",IF(IF(GlobalGH,Climate!$I$12,Climate!$F$12)&gt;Crops!$M$18,"H",IF(IF(GlobalGH,Climate!$H$12,Climate!$E$12)&lt;Crops!$K$18,"C","O")))</f>
        <v>·</v>
      </c>
      <c r="J20" s="142" t="str">
        <f aca="false">IF(IF(GlobalGH,Climate!$G$13,Climate!$D$13)&lt;=0,"·",IF(IF(GlobalGH,Climate!$I$13,Climate!$F$13)&gt;Crops!$M$18,"H",IF(IF(GlobalGH,Climate!$H$13,Climate!$E$13)&lt;Crops!$K$18,"C","O")))</f>
        <v>·</v>
      </c>
      <c r="K20" s="142" t="str">
        <f aca="false">IF(IF(GlobalGH,Climate!$G$14,Climate!$D$14)&lt;=0,"·",IF(IF(GlobalGH,Climate!$I$14,Climate!$F$14)&gt;Crops!$M$18,"H",IF(IF(GlobalGH,Climate!$H$14,Climate!$E$14)&lt;Crops!$K$18,"C","O")))</f>
        <v>·</v>
      </c>
      <c r="L20" s="142" t="str">
        <f aca="false">IF(IF(GlobalGH,Climate!$G$15,Climate!$D$15)&lt;=0,"·",IF(IF(GlobalGH,Climate!$I$15,Climate!$F$15)&gt;Crops!$M$18,"H",IF(IF(GlobalGH,Climate!$H$15,Climate!$E$15)&lt;Crops!$K$18,"C","O")))</f>
        <v>·</v>
      </c>
      <c r="M20" s="142" t="str">
        <f aca="false">IF(IF(GlobalGH,Climate!$G$16,Climate!$D$16)&lt;=0,"·",IF(IF(GlobalGH,Climate!$I$16,Climate!$F$16)&gt;Crops!$M$18,"H",IF(IF(GlobalGH,Climate!$H$16,Climate!$E$16)&lt;Crops!$K$18,"C","O")))</f>
        <v>·</v>
      </c>
      <c r="N20" s="142" t="str">
        <f aca="false">IF(IF(GlobalGH,Climate!$G$17,Climate!$D$17)&lt;=0,"·",IF(IF(GlobalGH,Climate!$I$17,Climate!$F$17)&gt;Crops!$M$18,"H",IF(IF(GlobalGH,Climate!$H$17,Climate!$E$17)&lt;Crops!$K$18,"C","O")))</f>
        <v>·</v>
      </c>
      <c r="O20" s="142" t="str">
        <f aca="false">IF(IF(GlobalGH,Climate!$G$18,Climate!$D$18)&lt;=0,"·",IF(IF(GlobalGH,Climate!$I$18,Climate!$F$18)&gt;Crops!$M$18,"H",IF(IF(GlobalGH,Climate!$H$18,Climate!$E$18)&lt;Crops!$K$18,"C","O")))</f>
        <v>·</v>
      </c>
      <c r="P20" s="142" t="str">
        <f aca="false">IF(IF(GlobalGH,Climate!$G$19,Climate!$D$19)&lt;=0,"·",IF(IF(GlobalGH,Climate!$I$19,Climate!$F$19)&gt;Crops!$M$18,"H",IF(IF(GlobalGH,Climate!$H$19,Climate!$E$19)&lt;Crops!$K$18,"C","O")))</f>
        <v>·</v>
      </c>
      <c r="Q20" s="142" t="str">
        <f aca="false">IF(IF(GlobalGH,Climate!$G$20,Climate!$D$20)&lt;=0,"·",IF(IF(GlobalGH,Climate!$I$20,Climate!$F$20)&gt;Crops!$M$18,"H",IF(IF(GlobalGH,Climate!$H$20,Climate!$E$20)&lt;Crops!$K$18,"C","O")))</f>
        <v>·</v>
      </c>
      <c r="R20" s="142" t="str">
        <f aca="false">IF(IF(GlobalGH,Climate!$G$21,Climate!$D$21)&lt;=0,"·",IF(IF(GlobalGH,Climate!$I$21,Climate!$F$21)&gt;Crops!$M$18,"H",IF(IF(GlobalGH,Climate!$H$21,Climate!$E$21)&lt;Crops!$K$18,"C","O")))</f>
        <v>·</v>
      </c>
      <c r="S20" s="142" t="str">
        <f aca="false">IF(IF(GlobalGH,Climate!$G$22,Climate!$D$22)&lt;=0,"·",IF(IF(GlobalGH,Climate!$I$22,Climate!$F$22)&gt;Crops!$M$18,"H",IF(IF(GlobalGH,Climate!$H$22,Climate!$E$22)&lt;Crops!$K$18,"C","O")))</f>
        <v>·</v>
      </c>
      <c r="T20" s="142" t="str">
        <f aca="false">IF(IF(GlobalGH,Climate!$G$23,Climate!$D$23)&lt;=0,"·",IF(IF(GlobalGH,Climate!$I$23,Climate!$F$23)&gt;Crops!$M$18,"H",IF(IF(GlobalGH,Climate!$H$23,Climate!$E$23)&lt;Crops!$K$18,"C","O")))</f>
        <v>·</v>
      </c>
      <c r="U20" s="142" t="str">
        <f aca="false">IF(IF(GlobalGH,Climate!$G$24,Climate!$D$24)&lt;=0,"·",IF(IF(GlobalGH,Climate!$I$24,Climate!$F$24)&gt;Crops!$M$18,"H",IF(IF(GlobalGH,Climate!$H$24,Climate!$E$24)&lt;Crops!$K$18,"C","O")))</f>
        <v>·</v>
      </c>
      <c r="V20" s="142" t="str">
        <f aca="false">IF(IF(GlobalGH,Climate!$G$25,Climate!$D$25)&lt;=0,"·",IF(IF(GlobalGH,Climate!$I$25,Climate!$F$25)&gt;Crops!$M$18,"H",IF(IF(GlobalGH,Climate!$H$25,Climate!$E$25)&lt;Crops!$K$18,"C","O")))</f>
        <v>·</v>
      </c>
      <c r="W20" s="142" t="str">
        <f aca="false">IF(IF(GlobalGH,Climate!$G$26,Climate!$D$26)&lt;=0,"·",IF(IF(GlobalGH,Climate!$I$26,Climate!$F$26)&gt;Crops!$M$18,"H",IF(IF(GlobalGH,Climate!$H$26,Climate!$E$26)&lt;Crops!$K$18,"C","O")))</f>
        <v>·</v>
      </c>
      <c r="X20" s="142" t="str">
        <f aca="false">IF(IF(GlobalGH,Climate!$G$27,Climate!$D$27)&lt;=0,"·",IF(IF(GlobalGH,Climate!$I$27,Climate!$F$27)&gt;Crops!$M$18,"H",IF(IF(GlobalGH,Climate!$H$27,Climate!$E$27)&lt;Crops!$K$18,"C","O")))</f>
        <v>·</v>
      </c>
      <c r="Y20" s="142" t="str">
        <f aca="false">IF(IF(GlobalGH,Climate!$G$28,Climate!$D$28)&lt;=0,"·",IF(IF(GlobalGH,Climate!$I$28,Climate!$F$28)&gt;Crops!$M$18,"H",IF(IF(GlobalGH,Climate!$H$28,Climate!$E$28)&lt;Crops!$K$18,"C","O")))</f>
        <v>·</v>
      </c>
      <c r="Z20" s="142" t="str">
        <f aca="false">IF(IF(GlobalGH,Climate!$G$29,Climate!$D$29)&lt;=0,"·",IF(IF(GlobalGH,Climate!$I$29,Climate!$F$29)&gt;Crops!$M$18,"H",IF(IF(GlobalGH,Climate!$H$29,Climate!$E$29)&lt;Crops!$K$18,"C","O")))</f>
        <v>·</v>
      </c>
      <c r="AA20" s="142" t="str">
        <f aca="false">IF(IF(GlobalGH,Climate!$G$30,Climate!$D$30)&lt;=0,"·",IF(IF(GlobalGH,Climate!$I$30,Climate!$F$30)&gt;Crops!$M$18,"H",IF(IF(GlobalGH,Climate!$H$30,Climate!$E$30)&lt;Crops!$K$18,"C","O")))</f>
        <v>·</v>
      </c>
      <c r="AB20" s="142" t="str">
        <f aca="false">IF(IF(GlobalGH,Climate!$G$31,Climate!$D$31)&lt;=0,"·",IF(IF(GlobalGH,Climate!$I$31,Climate!$F$31)&gt;Crops!$M$18,"H",IF(IF(GlobalGH,Climate!$H$31,Climate!$E$31)&lt;Crops!$K$18,"C","O")))</f>
        <v>·</v>
      </c>
      <c r="AC20" s="142" t="str">
        <f aca="false">IF(IF(GlobalGH,Climate!$G$32,Climate!$D$32)&lt;=0,"·",IF(IF(GlobalGH,Climate!$I$32,Climate!$F$32)&gt;Crops!$M$18,"H",IF(IF(GlobalGH,Climate!$H$32,Climate!$E$32)&lt;Crops!$K$18,"C","O")))</f>
        <v>·</v>
      </c>
      <c r="AD20" s="142" t="str">
        <f aca="false">IF(IF(GlobalGH,Climate!$G$33,Climate!$D$33)&lt;=0,"·",IF(IF(GlobalGH,Climate!$I$33,Climate!$F$33)&gt;Crops!$M$18,"H",IF(IF(GlobalGH,Climate!$H$33,Climate!$E$33)&lt;Crops!$K$18,"C","O")))</f>
        <v>·</v>
      </c>
      <c r="AE20" s="142" t="str">
        <f aca="false">IF(IF(GlobalGH,Climate!$G$34,Climate!$D$34)&lt;=0,"·",IF(IF(GlobalGH,Climate!$I$34,Climate!$F$34)&gt;Crops!$M$18,"H",IF(IF(GlobalGH,Climate!$H$34,Climate!$E$34)&lt;Crops!$K$18,"C","O")))</f>
        <v>·</v>
      </c>
      <c r="AF20" s="142" t="str">
        <f aca="false">IF(IF(GlobalGH,Climate!$G$35,Climate!$D$35)&lt;=0,"·",IF(IF(GlobalGH,Climate!$I$35,Climate!$F$35)&gt;Crops!$M$18,"H",IF(IF(GlobalGH,Climate!$H$35,Climate!$E$35)&lt;Crops!$K$18,"C","O")))</f>
        <v>·</v>
      </c>
      <c r="AG20" s="142" t="str">
        <f aca="false">IF(IF(GlobalGH,Climate!$G$36,Climate!$D$36)&lt;=0,"·",IF(IF(GlobalGH,Climate!$I$36,Climate!$F$36)&gt;Crops!$M$18,"H",IF(IF(GlobalGH,Climate!$H$36,Climate!$E$36)&lt;Crops!$K$18,"C","O")))</f>
        <v>·</v>
      </c>
      <c r="AH20" s="142" t="str">
        <f aca="false">IF(IF(GlobalGH,Climate!$G$37,Climate!$D$37)&lt;=0,"·",IF(IF(GlobalGH,Climate!$I$37,Climate!$F$37)&gt;Crops!$M$18,"H",IF(IF(GlobalGH,Climate!$H$37,Climate!$E$37)&lt;Crops!$K$18,"C","O")))</f>
        <v>·</v>
      </c>
      <c r="AI20" s="142" t="str">
        <f aca="false">IF(IF(GlobalGH,Climate!$G$38,Climate!$D$38)&lt;=0,"·",IF(IF(GlobalGH,Climate!$I$38,Climate!$F$38)&gt;Crops!$M$18,"H",IF(IF(GlobalGH,Climate!$H$38,Climate!$E$38)&lt;Crops!$K$18,"C","O")))</f>
        <v>C</v>
      </c>
      <c r="AJ20" s="142" t="str">
        <f aca="false">IF(IF(GlobalGH,Climate!$G$39,Climate!$D$39)&lt;=0,"·",IF(IF(GlobalGH,Climate!$I$39,Climate!$F$39)&gt;Crops!$M$18,"H",IF(IF(GlobalGH,Climate!$H$39,Climate!$E$39)&lt;Crops!$K$18,"C","O")))</f>
        <v>C</v>
      </c>
      <c r="AK20" s="142" t="str">
        <f aca="false">IF(IF(GlobalGH,Climate!$G$40,Climate!$D$40)&lt;=0,"·",IF(IF(GlobalGH,Climate!$I$40,Climate!$F$40)&gt;Crops!$M$18,"H",IF(IF(GlobalGH,Climate!$H$40,Climate!$E$40)&lt;Crops!$K$18,"C","O")))</f>
        <v>C</v>
      </c>
      <c r="AL20" s="142" t="str">
        <f aca="false">IF(IF(GlobalGH,Climate!$G$41,Climate!$D$41)&lt;=0,"·",IF(IF(GlobalGH,Climate!$I$41,Climate!$F$41)&gt;Crops!$M$18,"H",IF(IF(GlobalGH,Climate!$H$41,Climate!$E$41)&lt;Crops!$K$18,"C","O")))</f>
        <v>C</v>
      </c>
      <c r="AM20" s="142" t="str">
        <f aca="false">IF(IF(GlobalGH,Climate!$G$42,Climate!$D$42)&lt;=0,"·",IF(IF(GlobalGH,Climate!$I$42,Climate!$F$42)&gt;Crops!$M$18,"H",IF(IF(GlobalGH,Climate!$H$42,Climate!$E$42)&lt;Crops!$K$18,"C","O")))</f>
        <v>C</v>
      </c>
      <c r="AN20" s="142" t="str">
        <f aca="false">IF(IF(GlobalGH,Climate!$G$43,Climate!$D$43)&lt;=0,"·",IF(IF(GlobalGH,Climate!$I$43,Climate!$F$43)&gt;Crops!$M$18,"H",IF(IF(GlobalGH,Climate!$H$43,Climate!$E$43)&lt;Crops!$K$18,"C","O")))</f>
        <v>C</v>
      </c>
      <c r="AO20" s="142" t="str">
        <f aca="false">IF(IF(GlobalGH,Climate!$G$44,Climate!$D$44)&lt;=0,"·",IF(IF(GlobalGH,Climate!$I$44,Climate!$F$44)&gt;Crops!$M$18,"H",IF(IF(GlobalGH,Climate!$H$44,Climate!$E$44)&lt;Crops!$K$18,"C","O")))</f>
        <v>C</v>
      </c>
      <c r="AP20" s="142" t="str">
        <f aca="false">IF(IF(GlobalGH,Climate!$G$45,Climate!$D$45)&lt;=0,"·",IF(IF(GlobalGH,Climate!$I$45,Climate!$F$45)&gt;Crops!$M$18,"H",IF(IF(GlobalGH,Climate!$H$45,Climate!$E$45)&lt;Crops!$K$18,"C","O")))</f>
        <v>C</v>
      </c>
      <c r="AQ20" s="142" t="str">
        <f aca="false">IF(IF(GlobalGH,Climate!$G$46,Climate!$D$46)&lt;=0,"·",IF(IF(GlobalGH,Climate!$I$46,Climate!$F$46)&gt;Crops!$M$18,"H",IF(IF(GlobalGH,Climate!$H$46,Climate!$E$46)&lt;Crops!$K$18,"C","O")))</f>
        <v>C</v>
      </c>
      <c r="AR20" s="142" t="str">
        <f aca="false">IF(IF(GlobalGH,Climate!$G$47,Climate!$D$47)&lt;=0,"·",IF(IF(GlobalGH,Climate!$I$47,Climate!$F$47)&gt;Crops!$M$18,"H",IF(IF(GlobalGH,Climate!$H$47,Climate!$E$47)&lt;Crops!$K$18,"C","O")))</f>
        <v>C</v>
      </c>
      <c r="AS20" s="142" t="str">
        <f aca="false">IF(IF(GlobalGH,Climate!$G$48,Climate!$D$48)&lt;=0,"·",IF(IF(GlobalGH,Climate!$I$48,Climate!$F$48)&gt;Crops!$M$18,"H",IF(IF(GlobalGH,Climate!$H$48,Climate!$E$48)&lt;Crops!$K$18,"C","O")))</f>
        <v>C</v>
      </c>
      <c r="AT20" s="142" t="str">
        <f aca="false">IF(IF(GlobalGH,Climate!$G$49,Climate!$D$49)&lt;=0,"·",IF(IF(GlobalGH,Climate!$I$49,Climate!$F$49)&gt;Crops!$M$18,"H",IF(IF(GlobalGH,Climate!$H$49,Climate!$E$49)&lt;Crops!$K$18,"C","O")))</f>
        <v>C</v>
      </c>
      <c r="AU20" s="142" t="str">
        <f aca="false">IF(IF(GlobalGH,Climate!$G$50,Climate!$D$50)&lt;=0,"·",IF(IF(GlobalGH,Climate!$I$50,Climate!$F$50)&gt;Crops!$M$18,"H",IF(IF(GlobalGH,Climate!$H$50,Climate!$E$50)&lt;Crops!$K$18,"C","O")))</f>
        <v>C</v>
      </c>
      <c r="AV20" s="142" t="str">
        <f aca="false">IF(IF(GlobalGH,Climate!$G$51,Climate!$D$51)&lt;=0,"·",IF(IF(GlobalGH,Climate!$I$51,Climate!$F$51)&gt;Crops!$M$18,"H",IF(IF(GlobalGH,Climate!$H$51,Climate!$E$51)&lt;Crops!$K$18,"C","O")))</f>
        <v>C</v>
      </c>
      <c r="AW20" s="142" t="str">
        <f aca="false">IF(IF(GlobalGH,Climate!$G$52,Climate!$D$52)&lt;=0,"·",IF(IF(GlobalGH,Climate!$I$52,Climate!$F$52)&gt;Crops!$M$18,"H",IF(IF(GlobalGH,Climate!$H$52,Climate!$E$52)&lt;Crops!$K$18,"C","O")))</f>
        <v>C</v>
      </c>
      <c r="AX20" s="142" t="str">
        <f aca="false">IF(IF(GlobalGH,Climate!$G$53,Climate!$D$53)&lt;=0,"·",IF(IF(GlobalGH,Climate!$I$53,Climate!$F$53)&gt;Crops!$M$18,"H",IF(IF(GlobalGH,Climate!$H$53,Climate!$E$53)&lt;Crops!$K$18,"C","O")))</f>
        <v>C</v>
      </c>
      <c r="AY20" s="142" t="str">
        <f aca="false">IF(IF(GlobalGH,Climate!$G$54,Climate!$D$54)&lt;=0,"·",IF(IF(GlobalGH,Climate!$I$54,Climate!$F$54)&gt;Crops!$M$18,"H",IF(IF(GlobalGH,Climate!$H$54,Climate!$E$54)&lt;Crops!$K$18,"C","O")))</f>
        <v>C</v>
      </c>
      <c r="AZ20" s="142" t="str">
        <f aca="false">IF(IF(GlobalGH,Climate!$G$55,Climate!$D$55)&lt;=0,"·",IF(IF(GlobalGH,Climate!$I$55,Climate!$F$55)&gt;Crops!$M$18,"H",IF(IF(GlobalGH,Climate!$H$55,Climate!$E$55)&lt;Crops!$K$18,"C","O")))</f>
        <v>C</v>
      </c>
      <c r="BA20" s="142" t="str">
        <f aca="false">IF(IF(GlobalGH,Climate!$G$56,Climate!$D$56)&lt;=0,"·",IF(IF(GlobalGH,Climate!$I$56,Climate!$F$56)&gt;Crops!$M$18,"H",IF(IF(GlobalGH,Climate!$H$56,Climate!$E$56)&lt;Crops!$K$18,"C","O")))</f>
        <v>C</v>
      </c>
      <c r="BB20" s="142" t="str">
        <f aca="false">IF(IF(GlobalGH,Climate!$G$57,Climate!$D$57)&lt;=0,"·",IF(IF(GlobalGH,Climate!$I$57,Climate!$F$57)&gt;Crops!$M$18,"H",IF(IF(GlobalGH,Climate!$H$57,Climate!$E$57)&lt;Crops!$K$18,"C","O")))</f>
        <v>C</v>
      </c>
      <c r="BC20" s="142" t="str">
        <f aca="false">IF(IF(GlobalGH,Climate!$G$58,Climate!$D$58)&lt;=0,"·",IF(IF(GlobalGH,Climate!$I$58,Climate!$F$58)&gt;Crops!$M$18,"H",IF(IF(GlobalGH,Climate!$H$58,Climate!$E$58)&lt;Crops!$K$18,"C","O")))</f>
        <v>C</v>
      </c>
      <c r="BD20" s="142" t="str">
        <f aca="false">IF(IF(GlobalGH,Climate!$G$59,Climate!$D$59)&lt;=0,"·",IF(IF(GlobalGH,Climate!$I$59,Climate!$F$59)&gt;Crops!$M$18,"H",IF(IF(GlobalGH,Climate!$H$59,Climate!$E$59)&lt;Crops!$K$18,"C","O")))</f>
        <v>O</v>
      </c>
      <c r="BE20" s="142" t="str">
        <f aca="false">IF(IF(GlobalGH,Climate!$G$60,Climate!$D$60)&lt;=0,"·",IF(IF(GlobalGH,Climate!$I$60,Climate!$F$60)&gt;Crops!$M$18,"H",IF(IF(GlobalGH,Climate!$H$60,Climate!$E$60)&lt;Crops!$K$18,"C","O")))</f>
        <v>C</v>
      </c>
      <c r="BF20" s="142" t="str">
        <f aca="false">IF(IF(GlobalGH,Climate!$G$61,Climate!$D$61)&lt;=0,"·",IF(IF(GlobalGH,Climate!$I$61,Climate!$F$61)&gt;Crops!$M$18,"H",IF(IF(GlobalGH,Climate!$H$61,Climate!$E$61)&lt;Crops!$K$18,"C","O")))</f>
        <v>C</v>
      </c>
      <c r="BG20" s="142" t="str">
        <f aca="false">IF(IF(GlobalGH,Climate!$G$62,Climate!$D$62)&lt;=0,"·",IF(IF(GlobalGH,Climate!$I$62,Climate!$F$62)&gt;Crops!$M$18,"H",IF(IF(GlobalGH,Climate!$H$62,Climate!$E$62)&lt;Crops!$K$18,"C","O")))</f>
        <v>C</v>
      </c>
      <c r="BH20" s="142" t="str">
        <f aca="false">IF(IF(GlobalGH,Climate!$G$63,Climate!$D$63)&lt;=0,"·",IF(IF(GlobalGH,Climate!$I$63,Climate!$F$63)&gt;Crops!$M$18,"H",IF(IF(GlobalGH,Climate!$H$63,Climate!$E$63)&lt;Crops!$K$18,"C","O")))</f>
        <v>C</v>
      </c>
      <c r="BI20" s="142" t="str">
        <f aca="false">IF(IF(GlobalGH,Climate!$G$64,Climate!$D$64)&lt;=0,"·",IF(IF(GlobalGH,Climate!$I$64,Climate!$F$64)&gt;Crops!$M$18,"H",IF(IF(GlobalGH,Climate!$H$64,Climate!$E$64)&lt;Crops!$K$18,"C","O")))</f>
        <v>C</v>
      </c>
      <c r="BJ20" s="142" t="str">
        <f aca="false">IF(IF(GlobalGH,Climate!$G$65,Climate!$D$65)&lt;=0,"·",IF(IF(GlobalGH,Climate!$I$65,Climate!$F$65)&gt;Crops!$M$18,"H",IF(IF(GlobalGH,Climate!$H$65,Climate!$E$65)&lt;Crops!$K$18,"C","O")))</f>
        <v>C</v>
      </c>
      <c r="BK20" s="142" t="str">
        <f aca="false">IF(IF(GlobalGH,Climate!$G$66,Climate!$D$66)&lt;=0,"·",IF(IF(GlobalGH,Climate!$I$66,Climate!$F$66)&gt;Crops!$M$18,"H",IF(IF(GlobalGH,Climate!$H$66,Climate!$E$66)&lt;Crops!$K$18,"C","O")))</f>
        <v>C</v>
      </c>
      <c r="BL20" s="142" t="str">
        <f aca="false">IF(IF(GlobalGH,Climate!$G$67,Climate!$D$67)&lt;=0,"·",IF(IF(GlobalGH,Climate!$I$67,Climate!$F$67)&gt;Crops!$M$18,"H",IF(IF(GlobalGH,Climate!$H$67,Climate!$E$67)&lt;Crops!$K$18,"C","O")))</f>
        <v>O</v>
      </c>
      <c r="BM20" s="142" t="str">
        <f aca="false">IF(IF(GlobalGH,Climate!$G$68,Climate!$D$68)&lt;=0,"·",IF(IF(GlobalGH,Climate!$I$68,Climate!$F$68)&gt;Crops!$M$18,"H",IF(IF(GlobalGH,Climate!$H$68,Climate!$E$68)&lt;Crops!$K$18,"C","O")))</f>
        <v>O</v>
      </c>
      <c r="BN20" s="142" t="str">
        <f aca="false">IF(IF(GlobalGH,Climate!$G$69,Climate!$D$69)&lt;=0,"·",IF(IF(GlobalGH,Climate!$I$69,Climate!$F$69)&gt;Crops!$M$18,"H",IF(IF(GlobalGH,Climate!$H$69,Climate!$E$69)&lt;Crops!$K$18,"C","O")))</f>
        <v>C</v>
      </c>
      <c r="BO20" s="142" t="str">
        <f aca="false">IF(IF(GlobalGH,Climate!$G$70,Climate!$D$70)&lt;=0,"·",IF(IF(GlobalGH,Climate!$I$70,Climate!$F$70)&gt;Crops!$M$18,"H",IF(IF(GlobalGH,Climate!$H$70,Climate!$E$70)&lt;Crops!$K$18,"C","O")))</f>
        <v>C</v>
      </c>
      <c r="BP20" s="142" t="str">
        <f aca="false">IF(IF(GlobalGH,Climate!$G$71,Climate!$D$71)&lt;=0,"·",IF(IF(GlobalGH,Climate!$I$71,Climate!$F$71)&gt;Crops!$M$18,"H",IF(IF(GlobalGH,Climate!$H$71,Climate!$E$71)&lt;Crops!$K$18,"C","O")))</f>
        <v>C</v>
      </c>
      <c r="BQ20" s="142" t="str">
        <f aca="false">IF(IF(GlobalGH,Climate!$G$72,Climate!$D$72)&lt;=0,"·",IF(IF(GlobalGH,Climate!$I$72,Climate!$F$72)&gt;Crops!$M$18,"H",IF(IF(GlobalGH,Climate!$H$72,Climate!$E$72)&lt;Crops!$K$18,"C","O")))</f>
        <v>C</v>
      </c>
      <c r="BR20" s="142" t="str">
        <f aca="false">IF(IF(GlobalGH,Climate!$G$73,Climate!$D$73)&lt;=0,"·",IF(IF(GlobalGH,Climate!$I$73,Climate!$F$73)&gt;Crops!$M$18,"H",IF(IF(GlobalGH,Climate!$H$73,Climate!$E$73)&lt;Crops!$K$18,"C","O")))</f>
        <v>C</v>
      </c>
      <c r="BS20" s="142" t="str">
        <f aca="false">IF(IF(GlobalGH,Climate!$G$74,Climate!$D$74)&lt;=0,"·",IF(IF(GlobalGH,Climate!$I$74,Climate!$F$74)&gt;Crops!$M$18,"H",IF(IF(GlobalGH,Climate!$H$74,Climate!$E$74)&lt;Crops!$K$18,"C","O")))</f>
        <v>C</v>
      </c>
      <c r="BT20" s="142" t="str">
        <f aca="false">IF(IF(GlobalGH,Climate!$G$75,Climate!$D$75)&lt;=0,"·",IF(IF(GlobalGH,Climate!$I$75,Climate!$F$75)&gt;Crops!$M$18,"H",IF(IF(GlobalGH,Climate!$H$75,Climate!$E$75)&lt;Crops!$K$18,"C","O")))</f>
        <v>C</v>
      </c>
      <c r="BU20" s="142" t="str">
        <f aca="false">IF(IF(GlobalGH,Climate!$G$76,Climate!$D$76)&lt;=0,"·",IF(IF(GlobalGH,Climate!$I$76,Climate!$F$76)&gt;Crops!$M$18,"H",IF(IF(GlobalGH,Climate!$H$76,Climate!$E$76)&lt;Crops!$K$18,"C","O")))</f>
        <v>C</v>
      </c>
      <c r="BV20" s="142" t="str">
        <f aca="false">IF(IF(GlobalGH,Climate!$G$77,Climate!$D$77)&lt;=0,"·",IF(IF(GlobalGH,Climate!$I$77,Climate!$F$77)&gt;Crops!$M$18,"H",IF(IF(GlobalGH,Climate!$H$77,Climate!$E$77)&lt;Crops!$K$18,"C","O")))</f>
        <v>C</v>
      </c>
      <c r="BW20" s="142" t="str">
        <f aca="false">IF(IF(GlobalGH,Climate!$G$78,Climate!$D$78)&lt;=0,"·",IF(IF(GlobalGH,Climate!$I$78,Climate!$F$78)&gt;Crops!$M$18,"H",IF(IF(GlobalGH,Climate!$H$78,Climate!$E$78)&lt;Crops!$K$18,"C","O")))</f>
        <v>C</v>
      </c>
      <c r="BX20" s="142" t="str">
        <f aca="false">IF(IF(GlobalGH,Climate!$G$79,Climate!$D$79)&lt;=0,"·",IF(IF(GlobalGH,Climate!$I$79,Climate!$F$79)&gt;Crops!$M$18,"H",IF(IF(GlobalGH,Climate!$H$79,Climate!$E$79)&lt;Crops!$K$18,"C","O")))</f>
        <v>C</v>
      </c>
      <c r="BY20" s="142" t="str">
        <f aca="false">IF(IF(GlobalGH,Climate!$G$80,Climate!$D$80)&lt;=0,"·",IF(IF(GlobalGH,Climate!$I$80,Climate!$F$80)&gt;Crops!$M$18,"H",IF(IF(GlobalGH,Climate!$H$80,Climate!$E$80)&lt;Crops!$K$18,"C","O")))</f>
        <v>C</v>
      </c>
      <c r="BZ20" s="142" t="str">
        <f aca="false">IF(IF(GlobalGH,Climate!$G$81,Climate!$D$81)&lt;=0,"·",IF(IF(GlobalGH,Climate!$I$81,Climate!$F$81)&gt;Crops!$M$18,"H",IF(IF(GlobalGH,Climate!$H$81,Climate!$E$81)&lt;Crops!$K$18,"C","O")))</f>
        <v>C</v>
      </c>
      <c r="CA20" s="142" t="str">
        <f aca="false">IF(IF(GlobalGH,Climate!$G$82,Climate!$D$82)&lt;=0,"·",IF(IF(GlobalGH,Climate!$I$82,Climate!$F$82)&gt;Crops!$M$18,"H",IF(IF(GlobalGH,Climate!$H$82,Climate!$E$82)&lt;Crops!$K$18,"C","O")))</f>
        <v>C</v>
      </c>
      <c r="CB20" s="142" t="str">
        <f aca="false">IF(IF(GlobalGH,Climate!$G$83,Climate!$D$83)&lt;=0,"·",IF(IF(GlobalGH,Climate!$I$83,Climate!$F$83)&gt;Crops!$M$18,"H",IF(IF(GlobalGH,Climate!$H$83,Climate!$E$83)&lt;Crops!$K$18,"C","O")))</f>
        <v>C</v>
      </c>
      <c r="CC20" s="142" t="str">
        <f aca="false">IF(IF(GlobalGH,Climate!$G$84,Climate!$D$84)&lt;=0,"·",IF(IF(GlobalGH,Climate!$I$84,Climate!$F$84)&gt;Crops!$M$18,"H",IF(IF(GlobalGH,Climate!$H$84,Climate!$E$84)&lt;Crops!$K$18,"C","O")))</f>
        <v>C</v>
      </c>
      <c r="CD20" s="142" t="str">
        <f aca="false">IF(IF(GlobalGH,Climate!$G$85,Climate!$D$85)&lt;=0,"·",IF(IF(GlobalGH,Climate!$I$85,Climate!$F$85)&gt;Crops!$M$18,"H",IF(IF(GlobalGH,Climate!$H$85,Climate!$E$85)&lt;Crops!$K$18,"C","O")))</f>
        <v>C</v>
      </c>
      <c r="CE20" s="142" t="str">
        <f aca="false">IF(IF(GlobalGH,Climate!$G$86,Climate!$D$86)&lt;=0,"·",IF(IF(GlobalGH,Climate!$I$86,Climate!$F$86)&gt;Crops!$M$18,"H",IF(IF(GlobalGH,Climate!$H$86,Climate!$E$86)&lt;Crops!$K$18,"C","O")))</f>
        <v>C</v>
      </c>
      <c r="CF20" s="142" t="str">
        <f aca="false">IF(IF(GlobalGH,Climate!$G$87,Climate!$D$87)&lt;=0,"·",IF(IF(GlobalGH,Climate!$I$87,Climate!$F$87)&gt;Crops!$M$18,"H",IF(IF(GlobalGH,Climate!$H$87,Climate!$E$87)&lt;Crops!$K$18,"C","O")))</f>
        <v>C</v>
      </c>
      <c r="CG20" s="142" t="str">
        <f aca="false">IF(IF(GlobalGH,Climate!$G$88,Climate!$D$88)&lt;=0,"·",IF(IF(GlobalGH,Climate!$I$88,Climate!$F$88)&gt;Crops!$M$18,"H",IF(IF(GlobalGH,Climate!$H$88,Climate!$E$88)&lt;Crops!$K$18,"C","O")))</f>
        <v>·</v>
      </c>
      <c r="CH20" s="142" t="str">
        <f aca="false">IF(IF(GlobalGH,Climate!$G$89,Climate!$D$89)&lt;=0,"·",IF(IF(GlobalGH,Climate!$I$89,Climate!$F$89)&gt;Crops!$M$18,"H",IF(IF(GlobalGH,Climate!$H$89,Climate!$E$89)&lt;Crops!$K$18,"C","O")))</f>
        <v>·</v>
      </c>
      <c r="CI20" s="142" t="str">
        <f aca="false">IF(IF(GlobalGH,Climate!$G$90,Climate!$D$90)&lt;=0,"·",IF(IF(GlobalGH,Climate!$I$90,Climate!$F$90)&gt;Crops!$M$18,"H",IF(IF(GlobalGH,Climate!$H$90,Climate!$E$90)&lt;Crops!$K$18,"C","O")))</f>
        <v>·</v>
      </c>
      <c r="CJ20" s="142" t="str">
        <f aca="false">IF(IF(GlobalGH,Climate!$G$91,Climate!$D$91)&lt;=0,"·",IF(IF(GlobalGH,Climate!$I$91,Climate!$F$91)&gt;Crops!$M$18,"H",IF(IF(GlobalGH,Climate!$H$91,Climate!$E$91)&lt;Crops!$K$18,"C","O")))</f>
        <v>·</v>
      </c>
      <c r="CK20" s="142" t="str">
        <f aca="false">IF(IF(GlobalGH,Climate!$G$92,Climate!$D$92)&lt;=0,"·",IF(IF(GlobalGH,Climate!$I$92,Climate!$F$92)&gt;Crops!$M$18,"H",IF(IF(GlobalGH,Climate!$H$92,Climate!$E$92)&lt;Crops!$K$18,"C","O")))</f>
        <v>·</v>
      </c>
      <c r="CL20" s="142" t="str">
        <f aca="false">IF(IF(GlobalGH,Climate!$G$93,Climate!$D$93)&lt;=0,"·",IF(IF(GlobalGH,Climate!$I$93,Climate!$F$93)&gt;Crops!$M$18,"H",IF(IF(GlobalGH,Climate!$H$93,Climate!$E$93)&lt;Crops!$K$18,"C","O")))</f>
        <v>·</v>
      </c>
      <c r="CM20" s="142" t="str">
        <f aca="false">IF(IF(GlobalGH,Climate!$G$94,Climate!$D$94)&lt;=0,"·",IF(IF(GlobalGH,Climate!$I$94,Climate!$F$94)&gt;Crops!$M$18,"H",IF(IF(GlobalGH,Climate!$H$94,Climate!$E$94)&lt;Crops!$K$18,"C","O")))</f>
        <v>·</v>
      </c>
      <c r="CN20" s="142" t="str">
        <f aca="false">IF(IF(GlobalGH,Climate!$G$95,Climate!$D$95)&lt;=0,"·",IF(IF(GlobalGH,Climate!$I$95,Climate!$F$95)&gt;Crops!$M$18,"H",IF(IF(GlobalGH,Climate!$H$95,Climate!$E$95)&lt;Crops!$K$18,"C","O")))</f>
        <v>·</v>
      </c>
      <c r="CO20" s="142" t="str">
        <f aca="false">IF(IF(GlobalGH,Climate!$G$96,Climate!$D$96)&lt;=0,"·",IF(IF(GlobalGH,Climate!$I$96,Climate!$F$96)&gt;Crops!$M$18,"H",IF(IF(GlobalGH,Climate!$H$96,Climate!$E$96)&lt;Crops!$K$18,"C","O")))</f>
        <v>·</v>
      </c>
      <c r="CP20" s="142" t="str">
        <f aca="false">IF(IF(GlobalGH,Climate!$G$97,Climate!$D$97)&lt;=0,"·",IF(IF(GlobalGH,Climate!$I$97,Climate!$F$97)&gt;Crops!$M$18,"H",IF(IF(GlobalGH,Climate!$H$97,Climate!$E$97)&lt;Crops!$K$18,"C","O")))</f>
        <v>·</v>
      </c>
      <c r="CQ20" s="142" t="str">
        <f aca="false">IF(IF(GlobalGH,Climate!$G$98,Climate!$D$98)&lt;=0,"·",IF(IF(GlobalGH,Climate!$I$98,Climate!$F$98)&gt;Crops!$M$18,"H",IF(IF(GlobalGH,Climate!$H$98,Climate!$E$98)&lt;Crops!$K$18,"C","O")))</f>
        <v>·</v>
      </c>
      <c r="CR20" s="142" t="str">
        <f aca="false">IF(IF(GlobalGH,Climate!$G$99,Climate!$D$99)&lt;=0,"·",IF(IF(GlobalGH,Climate!$I$99,Climate!$F$99)&gt;Crops!$M$18,"H",IF(IF(GlobalGH,Climate!$H$99,Climate!$E$99)&lt;Crops!$K$18,"C","O")))</f>
        <v>·</v>
      </c>
      <c r="CS20" s="142" t="str">
        <f aca="false">IF(IF(GlobalGH,Climate!$G$100,Climate!$D$100)&lt;=0,"·",IF(IF(GlobalGH,Climate!$I$100,Climate!$F$100)&gt;Crops!$M$18,"H",IF(IF(GlobalGH,Climate!$H$100,Climate!$E$100)&lt;Crops!$K$18,"C","O")))</f>
        <v>·</v>
      </c>
      <c r="CT20" s="142" t="str">
        <f aca="false">IF(IF(GlobalGH,Climate!$G$101,Climate!$D$101)&lt;=0,"·",IF(IF(GlobalGH,Climate!$I$101,Climate!$F$101)&gt;Crops!$M$18,"H",IF(IF(GlobalGH,Climate!$H$101,Climate!$E$101)&lt;Crops!$K$18,"C","O")))</f>
        <v>·</v>
      </c>
      <c r="CU20" s="142" t="str">
        <f aca="false">IF(IF(GlobalGH,Climate!$G$102,Climate!$D$102)&lt;=0,"·",IF(IF(GlobalGH,Climate!$I$102,Climate!$F$102)&gt;Crops!$M$18,"H",IF(IF(GlobalGH,Climate!$H$102,Climate!$E$102)&lt;Crops!$K$18,"C","O")))</f>
        <v>·</v>
      </c>
      <c r="CV20" s="142" t="str">
        <f aca="false">IF(IF(GlobalGH,Climate!$G$103,Climate!$D$103)&lt;=0,"·",IF(IF(GlobalGH,Climate!$I$103,Climate!$F$103)&gt;Crops!$M$18,"H",IF(IF(GlobalGH,Climate!$H$103,Climate!$E$103)&lt;Crops!$K$18,"C","O")))</f>
        <v>·</v>
      </c>
      <c r="CW20" s="142" t="str">
        <f aca="false">IF(IF(GlobalGH,Climate!$G$104,Climate!$D$104)&lt;=0,"·",IF(IF(GlobalGH,Climate!$I$104,Climate!$F$104)&gt;Crops!$M$18,"H",IF(IF(GlobalGH,Climate!$H$104,Climate!$E$104)&lt;Crops!$K$18,"C","O")))</f>
        <v>·</v>
      </c>
      <c r="CX20" s="142" t="str">
        <f aca="false">IF(IF(GlobalGH,Climate!$G$105,Climate!$D$105)&lt;=0,"·",IF(IF(GlobalGH,Climate!$I$105,Climate!$F$105)&gt;Crops!$M$18,"H",IF(IF(GlobalGH,Climate!$H$105,Climate!$E$105)&lt;Crops!$K$18,"C","O")))</f>
        <v>·</v>
      </c>
      <c r="CY20" s="142" t="str">
        <f aca="false">IF(IF(GlobalGH,Climate!$G$106,Climate!$D$106)&lt;=0,"·",IF(IF(GlobalGH,Climate!$I$106,Climate!$F$106)&gt;Crops!$M$18,"H",IF(IF(GlobalGH,Climate!$H$106,Climate!$E$106)&lt;Crops!$K$18,"C","O")))</f>
        <v>·</v>
      </c>
      <c r="CZ20" s="142" t="str">
        <f aca="false">IF(IF(GlobalGH,Climate!$G$107,Climate!$D$107)&lt;=0,"·",IF(IF(GlobalGH,Climate!$I$107,Climate!$F$107)&gt;Crops!$M$18,"H",IF(IF(GlobalGH,Climate!$H$107,Climate!$E$107)&lt;Crops!$K$18,"C","O")))</f>
        <v>·</v>
      </c>
      <c r="DA20" s="142" t="str">
        <f aca="false">IF(IF(GlobalGH,Climate!$G$108,Climate!$D$108)&lt;=0,"·",IF(IF(GlobalGH,Climate!$I$108,Climate!$F$108)&gt;Crops!$M$18,"H",IF(IF(GlobalGH,Climate!$H$108,Climate!$E$108)&lt;Crops!$K$18,"C","O")))</f>
        <v>·</v>
      </c>
      <c r="DB20" s="142" t="str">
        <f aca="false">IF(IF(GlobalGH,Climate!$G$109,Climate!$D$109)&lt;=0,"·",IF(IF(GlobalGH,Climate!$I$109,Climate!$F$109)&gt;Crops!$M$18,"H",IF(IF(GlobalGH,Climate!$H$109,Climate!$E$109)&lt;Crops!$K$18,"C","O")))</f>
        <v>·</v>
      </c>
      <c r="DC20" s="142" t="str">
        <f aca="false">IF(IF(GlobalGH,Climate!$G$110,Climate!$D$110)&lt;=0,"·",IF(IF(GlobalGH,Climate!$I$110,Climate!$F$110)&gt;Crops!$M$18,"H",IF(IF(GlobalGH,Climate!$H$110,Climate!$E$110)&lt;Crops!$K$18,"C","O")))</f>
        <v>·</v>
      </c>
      <c r="DD20" s="142" t="str">
        <f aca="false">IF(IF(GlobalGH,Climate!$G$111,Climate!$D$111)&lt;=0,"·",IF(IF(GlobalGH,Climate!$I$111,Climate!$F$111)&gt;Crops!$M$18,"H",IF(IF(GlobalGH,Climate!$H$111,Climate!$E$111)&lt;Crops!$K$18,"C","O")))</f>
        <v>·</v>
      </c>
      <c r="DE20" s="142" t="str">
        <f aca="false">IF(IF(GlobalGH,Climate!$G$112,Climate!$D$112)&lt;=0,"·",IF(IF(GlobalGH,Climate!$I$112,Climate!$F$112)&gt;Crops!$M$18,"H",IF(IF(GlobalGH,Climate!$H$112,Climate!$E$112)&lt;Crops!$K$18,"C","O")))</f>
        <v>·</v>
      </c>
      <c r="DF20" s="143" t="n">
        <f aca="false">COUNTIF(B20:DE20,"O")</f>
        <v>3</v>
      </c>
      <c r="DG20" s="139" t="s">
        <v>421</v>
      </c>
    </row>
    <row r="21" customFormat="false" ht="15" hidden="false" customHeight="true" outlineLevel="0" collapsed="false">
      <c r="A21" s="141" t="str">
        <f aca="false">Crops!$B$19</f>
        <v>Cassava</v>
      </c>
      <c r="B21" s="142" t="str">
        <f aca="false">IF(IF(GlobalGH,Climate!$G$5,Climate!$D$5)&lt;=0,"·",IF(IF(GlobalGH,Climate!$I$5,Climate!$F$5)&gt;Crops!$M$19,"H",IF(IF(GlobalGH,Climate!$H$5,Climate!$E$5)&lt;Crops!$K$19,"C","O")))</f>
        <v>·</v>
      </c>
      <c r="C21" s="142" t="str">
        <f aca="false">IF(IF(GlobalGH,Climate!$G$6,Climate!$D$6)&lt;=0,"·",IF(IF(GlobalGH,Climate!$I$6,Climate!$F$6)&gt;Crops!$M$19,"H",IF(IF(GlobalGH,Climate!$H$6,Climate!$E$6)&lt;Crops!$K$19,"C","O")))</f>
        <v>·</v>
      </c>
      <c r="D21" s="142" t="str">
        <f aca="false">IF(IF(GlobalGH,Climate!$G$7,Climate!$D$7)&lt;=0,"·",IF(IF(GlobalGH,Climate!$I$7,Climate!$F$7)&gt;Crops!$M$19,"H",IF(IF(GlobalGH,Climate!$H$7,Climate!$E$7)&lt;Crops!$K$19,"C","O")))</f>
        <v>·</v>
      </c>
      <c r="E21" s="142" t="str">
        <f aca="false">IF(IF(GlobalGH,Climate!$G$8,Climate!$D$8)&lt;=0,"·",IF(IF(GlobalGH,Climate!$I$8,Climate!$F$8)&gt;Crops!$M$19,"H",IF(IF(GlobalGH,Climate!$H$8,Climate!$E$8)&lt;Crops!$K$19,"C","O")))</f>
        <v>·</v>
      </c>
      <c r="F21" s="142" t="str">
        <f aca="false">IF(IF(GlobalGH,Climate!$G$9,Climate!$D$9)&lt;=0,"·",IF(IF(GlobalGH,Climate!$I$9,Climate!$F$9)&gt;Crops!$M$19,"H",IF(IF(GlobalGH,Climate!$H$9,Climate!$E$9)&lt;Crops!$K$19,"C","O")))</f>
        <v>·</v>
      </c>
      <c r="G21" s="142" t="str">
        <f aca="false">IF(IF(GlobalGH,Climate!$G$10,Climate!$D$10)&lt;=0,"·",IF(IF(GlobalGH,Climate!$I$10,Climate!$F$10)&gt;Crops!$M$19,"H",IF(IF(GlobalGH,Climate!$H$10,Climate!$E$10)&lt;Crops!$K$19,"C","O")))</f>
        <v>·</v>
      </c>
      <c r="H21" s="142" t="str">
        <f aca="false">IF(IF(GlobalGH,Climate!$G$11,Climate!$D$11)&lt;=0,"·",IF(IF(GlobalGH,Climate!$I$11,Climate!$F$11)&gt;Crops!$M$19,"H",IF(IF(GlobalGH,Climate!$H$11,Climate!$E$11)&lt;Crops!$K$19,"C","O")))</f>
        <v>·</v>
      </c>
      <c r="I21" s="142" t="str">
        <f aca="false">IF(IF(GlobalGH,Climate!$G$12,Climate!$D$12)&lt;=0,"·",IF(IF(GlobalGH,Climate!$I$12,Climate!$F$12)&gt;Crops!$M$19,"H",IF(IF(GlobalGH,Climate!$H$12,Climate!$E$12)&lt;Crops!$K$19,"C","O")))</f>
        <v>·</v>
      </c>
      <c r="J21" s="142" t="str">
        <f aca="false">IF(IF(GlobalGH,Climate!$G$13,Climate!$D$13)&lt;=0,"·",IF(IF(GlobalGH,Climate!$I$13,Climate!$F$13)&gt;Crops!$M$19,"H",IF(IF(GlobalGH,Climate!$H$13,Climate!$E$13)&lt;Crops!$K$19,"C","O")))</f>
        <v>·</v>
      </c>
      <c r="K21" s="142" t="str">
        <f aca="false">IF(IF(GlobalGH,Climate!$G$14,Climate!$D$14)&lt;=0,"·",IF(IF(GlobalGH,Climate!$I$14,Climate!$F$14)&gt;Crops!$M$19,"H",IF(IF(GlobalGH,Climate!$H$14,Climate!$E$14)&lt;Crops!$K$19,"C","O")))</f>
        <v>·</v>
      </c>
      <c r="L21" s="142" t="str">
        <f aca="false">IF(IF(GlobalGH,Climate!$G$15,Climate!$D$15)&lt;=0,"·",IF(IF(GlobalGH,Climate!$I$15,Climate!$F$15)&gt;Crops!$M$19,"H",IF(IF(GlobalGH,Climate!$H$15,Climate!$E$15)&lt;Crops!$K$19,"C","O")))</f>
        <v>·</v>
      </c>
      <c r="M21" s="142" t="str">
        <f aca="false">IF(IF(GlobalGH,Climate!$G$16,Climate!$D$16)&lt;=0,"·",IF(IF(GlobalGH,Climate!$I$16,Climate!$F$16)&gt;Crops!$M$19,"H",IF(IF(GlobalGH,Climate!$H$16,Climate!$E$16)&lt;Crops!$K$19,"C","O")))</f>
        <v>·</v>
      </c>
      <c r="N21" s="142" t="str">
        <f aca="false">IF(IF(GlobalGH,Climate!$G$17,Climate!$D$17)&lt;=0,"·",IF(IF(GlobalGH,Climate!$I$17,Climate!$F$17)&gt;Crops!$M$19,"H",IF(IF(GlobalGH,Climate!$H$17,Climate!$E$17)&lt;Crops!$K$19,"C","O")))</f>
        <v>·</v>
      </c>
      <c r="O21" s="142" t="str">
        <f aca="false">IF(IF(GlobalGH,Climate!$G$18,Climate!$D$18)&lt;=0,"·",IF(IF(GlobalGH,Climate!$I$18,Climate!$F$18)&gt;Crops!$M$19,"H",IF(IF(GlobalGH,Climate!$H$18,Climate!$E$18)&lt;Crops!$K$19,"C","O")))</f>
        <v>·</v>
      </c>
      <c r="P21" s="142" t="str">
        <f aca="false">IF(IF(GlobalGH,Climate!$G$19,Climate!$D$19)&lt;=0,"·",IF(IF(GlobalGH,Climate!$I$19,Climate!$F$19)&gt;Crops!$M$19,"H",IF(IF(GlobalGH,Climate!$H$19,Climate!$E$19)&lt;Crops!$K$19,"C","O")))</f>
        <v>·</v>
      </c>
      <c r="Q21" s="142" t="str">
        <f aca="false">IF(IF(GlobalGH,Climate!$G$20,Climate!$D$20)&lt;=0,"·",IF(IF(GlobalGH,Climate!$I$20,Climate!$F$20)&gt;Crops!$M$19,"H",IF(IF(GlobalGH,Climate!$H$20,Climate!$E$20)&lt;Crops!$K$19,"C","O")))</f>
        <v>·</v>
      </c>
      <c r="R21" s="142" t="str">
        <f aca="false">IF(IF(GlobalGH,Climate!$G$21,Climate!$D$21)&lt;=0,"·",IF(IF(GlobalGH,Climate!$I$21,Climate!$F$21)&gt;Crops!$M$19,"H",IF(IF(GlobalGH,Climate!$H$21,Climate!$E$21)&lt;Crops!$K$19,"C","O")))</f>
        <v>·</v>
      </c>
      <c r="S21" s="142" t="str">
        <f aca="false">IF(IF(GlobalGH,Climate!$G$22,Climate!$D$22)&lt;=0,"·",IF(IF(GlobalGH,Climate!$I$22,Climate!$F$22)&gt;Crops!$M$19,"H",IF(IF(GlobalGH,Climate!$H$22,Climate!$E$22)&lt;Crops!$K$19,"C","O")))</f>
        <v>·</v>
      </c>
      <c r="T21" s="142" t="str">
        <f aca="false">IF(IF(GlobalGH,Climate!$G$23,Climate!$D$23)&lt;=0,"·",IF(IF(GlobalGH,Climate!$I$23,Climate!$F$23)&gt;Crops!$M$19,"H",IF(IF(GlobalGH,Climate!$H$23,Climate!$E$23)&lt;Crops!$K$19,"C","O")))</f>
        <v>·</v>
      </c>
      <c r="U21" s="142" t="str">
        <f aca="false">IF(IF(GlobalGH,Climate!$G$24,Climate!$D$24)&lt;=0,"·",IF(IF(GlobalGH,Climate!$I$24,Climate!$F$24)&gt;Crops!$M$19,"H",IF(IF(GlobalGH,Climate!$H$24,Climate!$E$24)&lt;Crops!$K$19,"C","O")))</f>
        <v>·</v>
      </c>
      <c r="V21" s="142" t="str">
        <f aca="false">IF(IF(GlobalGH,Climate!$G$25,Climate!$D$25)&lt;=0,"·",IF(IF(GlobalGH,Climate!$I$25,Climate!$F$25)&gt;Crops!$M$19,"H",IF(IF(GlobalGH,Climate!$H$25,Climate!$E$25)&lt;Crops!$K$19,"C","O")))</f>
        <v>·</v>
      </c>
      <c r="W21" s="142" t="str">
        <f aca="false">IF(IF(GlobalGH,Climate!$G$26,Climate!$D$26)&lt;=0,"·",IF(IF(GlobalGH,Climate!$I$26,Climate!$F$26)&gt;Crops!$M$19,"H",IF(IF(GlobalGH,Climate!$H$26,Climate!$E$26)&lt;Crops!$K$19,"C","O")))</f>
        <v>·</v>
      </c>
      <c r="X21" s="142" t="str">
        <f aca="false">IF(IF(GlobalGH,Climate!$G$27,Climate!$D$27)&lt;=0,"·",IF(IF(GlobalGH,Climate!$I$27,Climate!$F$27)&gt;Crops!$M$19,"H",IF(IF(GlobalGH,Climate!$H$27,Climate!$E$27)&lt;Crops!$K$19,"C","O")))</f>
        <v>·</v>
      </c>
      <c r="Y21" s="142" t="str">
        <f aca="false">IF(IF(GlobalGH,Climate!$G$28,Climate!$D$28)&lt;=0,"·",IF(IF(GlobalGH,Climate!$I$28,Climate!$F$28)&gt;Crops!$M$19,"H",IF(IF(GlobalGH,Climate!$H$28,Climate!$E$28)&lt;Crops!$K$19,"C","O")))</f>
        <v>·</v>
      </c>
      <c r="Z21" s="142" t="str">
        <f aca="false">IF(IF(GlobalGH,Climate!$G$29,Climate!$D$29)&lt;=0,"·",IF(IF(GlobalGH,Climate!$I$29,Climate!$F$29)&gt;Crops!$M$19,"H",IF(IF(GlobalGH,Climate!$H$29,Climate!$E$29)&lt;Crops!$K$19,"C","O")))</f>
        <v>·</v>
      </c>
      <c r="AA21" s="142" t="str">
        <f aca="false">IF(IF(GlobalGH,Climate!$G$30,Climate!$D$30)&lt;=0,"·",IF(IF(GlobalGH,Climate!$I$30,Climate!$F$30)&gt;Crops!$M$19,"H",IF(IF(GlobalGH,Climate!$H$30,Climate!$E$30)&lt;Crops!$K$19,"C","O")))</f>
        <v>·</v>
      </c>
      <c r="AB21" s="142" t="str">
        <f aca="false">IF(IF(GlobalGH,Climate!$G$31,Climate!$D$31)&lt;=0,"·",IF(IF(GlobalGH,Climate!$I$31,Climate!$F$31)&gt;Crops!$M$19,"H",IF(IF(GlobalGH,Climate!$H$31,Climate!$E$31)&lt;Crops!$K$19,"C","O")))</f>
        <v>·</v>
      </c>
      <c r="AC21" s="142" t="str">
        <f aca="false">IF(IF(GlobalGH,Climate!$G$32,Climate!$D$32)&lt;=0,"·",IF(IF(GlobalGH,Climate!$I$32,Climate!$F$32)&gt;Crops!$M$19,"H",IF(IF(GlobalGH,Climate!$H$32,Climate!$E$32)&lt;Crops!$K$19,"C","O")))</f>
        <v>·</v>
      </c>
      <c r="AD21" s="142" t="str">
        <f aca="false">IF(IF(GlobalGH,Climate!$G$33,Climate!$D$33)&lt;=0,"·",IF(IF(GlobalGH,Climate!$I$33,Climate!$F$33)&gt;Crops!$M$19,"H",IF(IF(GlobalGH,Climate!$H$33,Climate!$E$33)&lt;Crops!$K$19,"C","O")))</f>
        <v>·</v>
      </c>
      <c r="AE21" s="142" t="str">
        <f aca="false">IF(IF(GlobalGH,Climate!$G$34,Climate!$D$34)&lt;=0,"·",IF(IF(GlobalGH,Climate!$I$34,Climate!$F$34)&gt;Crops!$M$19,"H",IF(IF(GlobalGH,Climate!$H$34,Climate!$E$34)&lt;Crops!$K$19,"C","O")))</f>
        <v>·</v>
      </c>
      <c r="AF21" s="142" t="str">
        <f aca="false">IF(IF(GlobalGH,Climate!$G$35,Climate!$D$35)&lt;=0,"·",IF(IF(GlobalGH,Climate!$I$35,Climate!$F$35)&gt;Crops!$M$19,"H",IF(IF(GlobalGH,Climate!$H$35,Climate!$E$35)&lt;Crops!$K$19,"C","O")))</f>
        <v>·</v>
      </c>
      <c r="AG21" s="142" t="str">
        <f aca="false">IF(IF(GlobalGH,Climate!$G$36,Climate!$D$36)&lt;=0,"·",IF(IF(GlobalGH,Climate!$I$36,Climate!$F$36)&gt;Crops!$M$19,"H",IF(IF(GlobalGH,Climate!$H$36,Climate!$E$36)&lt;Crops!$K$19,"C","O")))</f>
        <v>·</v>
      </c>
      <c r="AH21" s="142" t="str">
        <f aca="false">IF(IF(GlobalGH,Climate!$G$37,Climate!$D$37)&lt;=0,"·",IF(IF(GlobalGH,Climate!$I$37,Climate!$F$37)&gt;Crops!$M$19,"H",IF(IF(GlobalGH,Climate!$H$37,Climate!$E$37)&lt;Crops!$K$19,"C","O")))</f>
        <v>·</v>
      </c>
      <c r="AI21" s="142" t="str">
        <f aca="false">IF(IF(GlobalGH,Climate!$G$38,Climate!$D$38)&lt;=0,"·",IF(IF(GlobalGH,Climate!$I$38,Climate!$F$38)&gt;Crops!$M$19,"H",IF(IF(GlobalGH,Climate!$H$38,Climate!$E$38)&lt;Crops!$K$19,"C","O")))</f>
        <v>C</v>
      </c>
      <c r="AJ21" s="142" t="str">
        <f aca="false">IF(IF(GlobalGH,Climate!$G$39,Climate!$D$39)&lt;=0,"·",IF(IF(GlobalGH,Climate!$I$39,Climate!$F$39)&gt;Crops!$M$19,"H",IF(IF(GlobalGH,Climate!$H$39,Climate!$E$39)&lt;Crops!$K$19,"C","O")))</f>
        <v>C</v>
      </c>
      <c r="AK21" s="142" t="str">
        <f aca="false">IF(IF(GlobalGH,Climate!$G$40,Climate!$D$40)&lt;=0,"·",IF(IF(GlobalGH,Climate!$I$40,Climate!$F$40)&gt;Crops!$M$19,"H",IF(IF(GlobalGH,Climate!$H$40,Climate!$E$40)&lt;Crops!$K$19,"C","O")))</f>
        <v>C</v>
      </c>
      <c r="AL21" s="142" t="str">
        <f aca="false">IF(IF(GlobalGH,Climate!$G$41,Climate!$D$41)&lt;=0,"·",IF(IF(GlobalGH,Climate!$I$41,Climate!$F$41)&gt;Crops!$M$19,"H",IF(IF(GlobalGH,Climate!$H$41,Climate!$E$41)&lt;Crops!$K$19,"C","O")))</f>
        <v>C</v>
      </c>
      <c r="AM21" s="142" t="str">
        <f aca="false">IF(IF(GlobalGH,Climate!$G$42,Climate!$D$42)&lt;=0,"·",IF(IF(GlobalGH,Climate!$I$42,Climate!$F$42)&gt;Crops!$M$19,"H",IF(IF(GlobalGH,Climate!$H$42,Climate!$E$42)&lt;Crops!$K$19,"C","O")))</f>
        <v>C</v>
      </c>
      <c r="AN21" s="142" t="str">
        <f aca="false">IF(IF(GlobalGH,Climate!$G$43,Climate!$D$43)&lt;=0,"·",IF(IF(GlobalGH,Climate!$I$43,Climate!$F$43)&gt;Crops!$M$19,"H",IF(IF(GlobalGH,Climate!$H$43,Climate!$E$43)&lt;Crops!$K$19,"C","O")))</f>
        <v>C</v>
      </c>
      <c r="AO21" s="142" t="str">
        <f aca="false">IF(IF(GlobalGH,Climate!$G$44,Climate!$D$44)&lt;=0,"·",IF(IF(GlobalGH,Climate!$I$44,Climate!$F$44)&gt;Crops!$M$19,"H",IF(IF(GlobalGH,Climate!$H$44,Climate!$E$44)&lt;Crops!$K$19,"C","O")))</f>
        <v>C</v>
      </c>
      <c r="AP21" s="142" t="str">
        <f aca="false">IF(IF(GlobalGH,Climate!$G$45,Climate!$D$45)&lt;=0,"·",IF(IF(GlobalGH,Climate!$I$45,Climate!$F$45)&gt;Crops!$M$19,"H",IF(IF(GlobalGH,Climate!$H$45,Climate!$E$45)&lt;Crops!$K$19,"C","O")))</f>
        <v>C</v>
      </c>
      <c r="AQ21" s="142" t="str">
        <f aca="false">IF(IF(GlobalGH,Climate!$G$46,Climate!$D$46)&lt;=0,"·",IF(IF(GlobalGH,Climate!$I$46,Climate!$F$46)&gt;Crops!$M$19,"H",IF(IF(GlobalGH,Climate!$H$46,Climate!$E$46)&lt;Crops!$K$19,"C","O")))</f>
        <v>C</v>
      </c>
      <c r="AR21" s="142" t="str">
        <f aca="false">IF(IF(GlobalGH,Climate!$G$47,Climate!$D$47)&lt;=0,"·",IF(IF(GlobalGH,Climate!$I$47,Climate!$F$47)&gt;Crops!$M$19,"H",IF(IF(GlobalGH,Climate!$H$47,Climate!$E$47)&lt;Crops!$K$19,"C","O")))</f>
        <v>C</v>
      </c>
      <c r="AS21" s="142" t="str">
        <f aca="false">IF(IF(GlobalGH,Climate!$G$48,Climate!$D$48)&lt;=0,"·",IF(IF(GlobalGH,Climate!$I$48,Climate!$F$48)&gt;Crops!$M$19,"H",IF(IF(GlobalGH,Climate!$H$48,Climate!$E$48)&lt;Crops!$K$19,"C","O")))</f>
        <v>C</v>
      </c>
      <c r="AT21" s="142" t="str">
        <f aca="false">IF(IF(GlobalGH,Climate!$G$49,Climate!$D$49)&lt;=0,"·",IF(IF(GlobalGH,Climate!$I$49,Climate!$F$49)&gt;Crops!$M$19,"H",IF(IF(GlobalGH,Climate!$H$49,Climate!$E$49)&lt;Crops!$K$19,"C","O")))</f>
        <v>C</v>
      </c>
      <c r="AU21" s="142" t="str">
        <f aca="false">IF(IF(GlobalGH,Climate!$G$50,Climate!$D$50)&lt;=0,"·",IF(IF(GlobalGH,Climate!$I$50,Climate!$F$50)&gt;Crops!$M$19,"H",IF(IF(GlobalGH,Climate!$H$50,Climate!$E$50)&lt;Crops!$K$19,"C","O")))</f>
        <v>C</v>
      </c>
      <c r="AV21" s="142" t="str">
        <f aca="false">IF(IF(GlobalGH,Climate!$G$51,Climate!$D$51)&lt;=0,"·",IF(IF(GlobalGH,Climate!$I$51,Climate!$F$51)&gt;Crops!$M$19,"H",IF(IF(GlobalGH,Climate!$H$51,Climate!$E$51)&lt;Crops!$K$19,"C","O")))</f>
        <v>O</v>
      </c>
      <c r="AW21" s="142" t="str">
        <f aca="false">IF(IF(GlobalGH,Climate!$G$52,Climate!$D$52)&lt;=0,"·",IF(IF(GlobalGH,Climate!$I$52,Climate!$F$52)&gt;Crops!$M$19,"H",IF(IF(GlobalGH,Climate!$H$52,Climate!$E$52)&lt;Crops!$K$19,"C","O")))</f>
        <v>C</v>
      </c>
      <c r="AX21" s="142" t="str">
        <f aca="false">IF(IF(GlobalGH,Climate!$G$53,Climate!$D$53)&lt;=0,"·",IF(IF(GlobalGH,Climate!$I$53,Climate!$F$53)&gt;Crops!$M$19,"H",IF(IF(GlobalGH,Climate!$H$53,Climate!$E$53)&lt;Crops!$K$19,"C","O")))</f>
        <v>O</v>
      </c>
      <c r="AY21" s="142" t="str">
        <f aca="false">IF(IF(GlobalGH,Climate!$G$54,Climate!$D$54)&lt;=0,"·",IF(IF(GlobalGH,Climate!$I$54,Climate!$F$54)&gt;Crops!$M$19,"H",IF(IF(GlobalGH,Climate!$H$54,Climate!$E$54)&lt;Crops!$K$19,"C","O")))</f>
        <v>O</v>
      </c>
      <c r="AZ21" s="142" t="str">
        <f aca="false">IF(IF(GlobalGH,Climate!$G$55,Climate!$D$55)&lt;=0,"·",IF(IF(GlobalGH,Climate!$I$55,Climate!$F$55)&gt;Crops!$M$19,"H",IF(IF(GlobalGH,Climate!$H$55,Climate!$E$55)&lt;Crops!$K$19,"C","O")))</f>
        <v>O</v>
      </c>
      <c r="BA21" s="142" t="str">
        <f aca="false">IF(IF(GlobalGH,Climate!$G$56,Climate!$D$56)&lt;=0,"·",IF(IF(GlobalGH,Climate!$I$56,Climate!$F$56)&gt;Crops!$M$19,"H",IF(IF(GlobalGH,Climate!$H$56,Climate!$E$56)&lt;Crops!$K$19,"C","O")))</f>
        <v>O</v>
      </c>
      <c r="BB21" s="142" t="str">
        <f aca="false">IF(IF(GlobalGH,Climate!$G$57,Climate!$D$57)&lt;=0,"·",IF(IF(GlobalGH,Climate!$I$57,Climate!$F$57)&gt;Crops!$M$19,"H",IF(IF(GlobalGH,Climate!$H$57,Climate!$E$57)&lt;Crops!$K$19,"C","O")))</f>
        <v>O</v>
      </c>
      <c r="BC21" s="142" t="str">
        <f aca="false">IF(IF(GlobalGH,Climate!$G$58,Climate!$D$58)&lt;=0,"·",IF(IF(GlobalGH,Climate!$I$58,Climate!$F$58)&gt;Crops!$M$19,"H",IF(IF(GlobalGH,Climate!$H$58,Climate!$E$58)&lt;Crops!$K$19,"C","O")))</f>
        <v>O</v>
      </c>
      <c r="BD21" s="142" t="str">
        <f aca="false">IF(IF(GlobalGH,Climate!$G$59,Climate!$D$59)&lt;=0,"·",IF(IF(GlobalGH,Climate!$I$59,Climate!$F$59)&gt;Crops!$M$19,"H",IF(IF(GlobalGH,Climate!$H$59,Climate!$E$59)&lt;Crops!$K$19,"C","O")))</f>
        <v>O</v>
      </c>
      <c r="BE21" s="142" t="str">
        <f aca="false">IF(IF(GlobalGH,Climate!$G$60,Climate!$D$60)&lt;=0,"·",IF(IF(GlobalGH,Climate!$I$60,Climate!$F$60)&gt;Crops!$M$19,"H",IF(IF(GlobalGH,Climate!$H$60,Climate!$E$60)&lt;Crops!$K$19,"C","O")))</f>
        <v>O</v>
      </c>
      <c r="BF21" s="142" t="str">
        <f aca="false">IF(IF(GlobalGH,Climate!$G$61,Climate!$D$61)&lt;=0,"·",IF(IF(GlobalGH,Climate!$I$61,Climate!$F$61)&gt;Crops!$M$19,"H",IF(IF(GlobalGH,Climate!$H$61,Climate!$E$61)&lt;Crops!$K$19,"C","O")))</f>
        <v>O</v>
      </c>
      <c r="BG21" s="142" t="str">
        <f aca="false">IF(IF(GlobalGH,Climate!$G$62,Climate!$D$62)&lt;=0,"·",IF(IF(GlobalGH,Climate!$I$62,Climate!$F$62)&gt;Crops!$M$19,"H",IF(IF(GlobalGH,Climate!$H$62,Climate!$E$62)&lt;Crops!$K$19,"C","O")))</f>
        <v>O</v>
      </c>
      <c r="BH21" s="142" t="str">
        <f aca="false">IF(IF(GlobalGH,Climate!$G$63,Climate!$D$63)&lt;=0,"·",IF(IF(GlobalGH,Climate!$I$63,Climate!$F$63)&gt;Crops!$M$19,"H",IF(IF(GlobalGH,Climate!$H$63,Climate!$E$63)&lt;Crops!$K$19,"C","O")))</f>
        <v>O</v>
      </c>
      <c r="BI21" s="142" t="str">
        <f aca="false">IF(IF(GlobalGH,Climate!$G$64,Climate!$D$64)&lt;=0,"·",IF(IF(GlobalGH,Climate!$I$64,Climate!$F$64)&gt;Crops!$M$19,"H",IF(IF(GlobalGH,Climate!$H$64,Climate!$E$64)&lt;Crops!$K$19,"C","O")))</f>
        <v>O</v>
      </c>
      <c r="BJ21" s="142" t="str">
        <f aca="false">IF(IF(GlobalGH,Climate!$G$65,Climate!$D$65)&lt;=0,"·",IF(IF(GlobalGH,Climate!$I$65,Climate!$F$65)&gt;Crops!$M$19,"H",IF(IF(GlobalGH,Climate!$H$65,Climate!$E$65)&lt;Crops!$K$19,"C","O")))</f>
        <v>O</v>
      </c>
      <c r="BK21" s="142" t="str">
        <f aca="false">IF(IF(GlobalGH,Climate!$G$66,Climate!$D$66)&lt;=0,"·",IF(IF(GlobalGH,Climate!$I$66,Climate!$F$66)&gt;Crops!$M$19,"H",IF(IF(GlobalGH,Climate!$H$66,Climate!$E$66)&lt;Crops!$K$19,"C","O")))</f>
        <v>O</v>
      </c>
      <c r="BL21" s="142" t="str">
        <f aca="false">IF(IF(GlobalGH,Climate!$G$67,Climate!$D$67)&lt;=0,"·",IF(IF(GlobalGH,Climate!$I$67,Climate!$F$67)&gt;Crops!$M$19,"H",IF(IF(GlobalGH,Climate!$H$67,Climate!$E$67)&lt;Crops!$K$19,"C","O")))</f>
        <v>O</v>
      </c>
      <c r="BM21" s="142" t="str">
        <f aca="false">IF(IF(GlobalGH,Climate!$G$68,Climate!$D$68)&lt;=0,"·",IF(IF(GlobalGH,Climate!$I$68,Climate!$F$68)&gt;Crops!$M$19,"H",IF(IF(GlobalGH,Climate!$H$68,Climate!$E$68)&lt;Crops!$K$19,"C","O")))</f>
        <v>O</v>
      </c>
      <c r="BN21" s="142" t="str">
        <f aca="false">IF(IF(GlobalGH,Climate!$G$69,Climate!$D$69)&lt;=0,"·",IF(IF(GlobalGH,Climate!$I$69,Climate!$F$69)&gt;Crops!$M$19,"H",IF(IF(GlobalGH,Climate!$H$69,Climate!$E$69)&lt;Crops!$K$19,"C","O")))</f>
        <v>O</v>
      </c>
      <c r="BO21" s="142" t="str">
        <f aca="false">IF(IF(GlobalGH,Climate!$G$70,Climate!$D$70)&lt;=0,"·",IF(IF(GlobalGH,Climate!$I$70,Climate!$F$70)&gt;Crops!$M$19,"H",IF(IF(GlobalGH,Climate!$H$70,Climate!$E$70)&lt;Crops!$K$19,"C","O")))</f>
        <v>O</v>
      </c>
      <c r="BP21" s="142" t="str">
        <f aca="false">IF(IF(GlobalGH,Climate!$G$71,Climate!$D$71)&lt;=0,"·",IF(IF(GlobalGH,Climate!$I$71,Climate!$F$71)&gt;Crops!$M$19,"H",IF(IF(GlobalGH,Climate!$H$71,Climate!$E$71)&lt;Crops!$K$19,"C","O")))</f>
        <v>O</v>
      </c>
      <c r="BQ21" s="142" t="str">
        <f aca="false">IF(IF(GlobalGH,Climate!$G$72,Climate!$D$72)&lt;=0,"·",IF(IF(GlobalGH,Climate!$I$72,Climate!$F$72)&gt;Crops!$M$19,"H",IF(IF(GlobalGH,Climate!$H$72,Climate!$E$72)&lt;Crops!$K$19,"C","O")))</f>
        <v>C</v>
      </c>
      <c r="BR21" s="142" t="str">
        <f aca="false">IF(IF(GlobalGH,Climate!$G$73,Climate!$D$73)&lt;=0,"·",IF(IF(GlobalGH,Climate!$I$73,Climate!$F$73)&gt;Crops!$M$19,"H",IF(IF(GlobalGH,Climate!$H$73,Climate!$E$73)&lt;Crops!$K$19,"C","O")))</f>
        <v>C</v>
      </c>
      <c r="BS21" s="142" t="str">
        <f aca="false">IF(IF(GlobalGH,Climate!$G$74,Climate!$D$74)&lt;=0,"·",IF(IF(GlobalGH,Climate!$I$74,Climate!$F$74)&gt;Crops!$M$19,"H",IF(IF(GlobalGH,Climate!$H$74,Climate!$E$74)&lt;Crops!$K$19,"C","O")))</f>
        <v>C</v>
      </c>
      <c r="BT21" s="142" t="str">
        <f aca="false">IF(IF(GlobalGH,Climate!$G$75,Climate!$D$75)&lt;=0,"·",IF(IF(GlobalGH,Climate!$I$75,Climate!$F$75)&gt;Crops!$M$19,"H",IF(IF(GlobalGH,Climate!$H$75,Climate!$E$75)&lt;Crops!$K$19,"C","O")))</f>
        <v>C</v>
      </c>
      <c r="BU21" s="142" t="str">
        <f aca="false">IF(IF(GlobalGH,Climate!$G$76,Climate!$D$76)&lt;=0,"·",IF(IF(GlobalGH,Climate!$I$76,Climate!$F$76)&gt;Crops!$M$19,"H",IF(IF(GlobalGH,Climate!$H$76,Climate!$E$76)&lt;Crops!$K$19,"C","O")))</f>
        <v>C</v>
      </c>
      <c r="BV21" s="142" t="str">
        <f aca="false">IF(IF(GlobalGH,Climate!$G$77,Climate!$D$77)&lt;=0,"·",IF(IF(GlobalGH,Climate!$I$77,Climate!$F$77)&gt;Crops!$M$19,"H",IF(IF(GlobalGH,Climate!$H$77,Climate!$E$77)&lt;Crops!$K$19,"C","O")))</f>
        <v>C</v>
      </c>
      <c r="BW21" s="142" t="str">
        <f aca="false">IF(IF(GlobalGH,Climate!$G$78,Climate!$D$78)&lt;=0,"·",IF(IF(GlobalGH,Climate!$I$78,Climate!$F$78)&gt;Crops!$M$19,"H",IF(IF(GlobalGH,Climate!$H$78,Climate!$E$78)&lt;Crops!$K$19,"C","O")))</f>
        <v>C</v>
      </c>
      <c r="BX21" s="142" t="str">
        <f aca="false">IF(IF(GlobalGH,Climate!$G$79,Climate!$D$79)&lt;=0,"·",IF(IF(GlobalGH,Climate!$I$79,Climate!$F$79)&gt;Crops!$M$19,"H",IF(IF(GlobalGH,Climate!$H$79,Climate!$E$79)&lt;Crops!$K$19,"C","O")))</f>
        <v>C</v>
      </c>
      <c r="BY21" s="142" t="str">
        <f aca="false">IF(IF(GlobalGH,Climate!$G$80,Climate!$D$80)&lt;=0,"·",IF(IF(GlobalGH,Climate!$I$80,Climate!$F$80)&gt;Crops!$M$19,"H",IF(IF(GlobalGH,Climate!$H$80,Climate!$E$80)&lt;Crops!$K$19,"C","O")))</f>
        <v>C</v>
      </c>
      <c r="BZ21" s="142" t="str">
        <f aca="false">IF(IF(GlobalGH,Climate!$G$81,Climate!$D$81)&lt;=0,"·",IF(IF(GlobalGH,Climate!$I$81,Climate!$F$81)&gt;Crops!$M$19,"H",IF(IF(GlobalGH,Climate!$H$81,Climate!$E$81)&lt;Crops!$K$19,"C","O")))</f>
        <v>C</v>
      </c>
      <c r="CA21" s="142" t="str">
        <f aca="false">IF(IF(GlobalGH,Climate!$G$82,Climate!$D$82)&lt;=0,"·",IF(IF(GlobalGH,Climate!$I$82,Climate!$F$82)&gt;Crops!$M$19,"H",IF(IF(GlobalGH,Climate!$H$82,Climate!$E$82)&lt;Crops!$K$19,"C","O")))</f>
        <v>C</v>
      </c>
      <c r="CB21" s="142" t="str">
        <f aca="false">IF(IF(GlobalGH,Climate!$G$83,Climate!$D$83)&lt;=0,"·",IF(IF(GlobalGH,Climate!$I$83,Climate!$F$83)&gt;Crops!$M$19,"H",IF(IF(GlobalGH,Climate!$H$83,Climate!$E$83)&lt;Crops!$K$19,"C","O")))</f>
        <v>C</v>
      </c>
      <c r="CC21" s="142" t="str">
        <f aca="false">IF(IF(GlobalGH,Climate!$G$84,Climate!$D$84)&lt;=0,"·",IF(IF(GlobalGH,Climate!$I$84,Climate!$F$84)&gt;Crops!$M$19,"H",IF(IF(GlobalGH,Climate!$H$84,Climate!$E$84)&lt;Crops!$K$19,"C","O")))</f>
        <v>C</v>
      </c>
      <c r="CD21" s="142" t="str">
        <f aca="false">IF(IF(GlobalGH,Climate!$G$85,Climate!$D$85)&lt;=0,"·",IF(IF(GlobalGH,Climate!$I$85,Climate!$F$85)&gt;Crops!$M$19,"H",IF(IF(GlobalGH,Climate!$H$85,Climate!$E$85)&lt;Crops!$K$19,"C","O")))</f>
        <v>C</v>
      </c>
      <c r="CE21" s="142" t="str">
        <f aca="false">IF(IF(GlobalGH,Climate!$G$86,Climate!$D$86)&lt;=0,"·",IF(IF(GlobalGH,Climate!$I$86,Climate!$F$86)&gt;Crops!$M$19,"H",IF(IF(GlobalGH,Climate!$H$86,Climate!$E$86)&lt;Crops!$K$19,"C","O")))</f>
        <v>C</v>
      </c>
      <c r="CF21" s="142" t="str">
        <f aca="false">IF(IF(GlobalGH,Climate!$G$87,Climate!$D$87)&lt;=0,"·",IF(IF(GlobalGH,Climate!$I$87,Climate!$F$87)&gt;Crops!$M$19,"H",IF(IF(GlobalGH,Climate!$H$87,Climate!$E$87)&lt;Crops!$K$19,"C","O")))</f>
        <v>C</v>
      </c>
      <c r="CG21" s="142" t="str">
        <f aca="false">IF(IF(GlobalGH,Climate!$G$88,Climate!$D$88)&lt;=0,"·",IF(IF(GlobalGH,Climate!$I$88,Climate!$F$88)&gt;Crops!$M$19,"H",IF(IF(GlobalGH,Climate!$H$88,Climate!$E$88)&lt;Crops!$K$19,"C","O")))</f>
        <v>·</v>
      </c>
      <c r="CH21" s="142" t="str">
        <f aca="false">IF(IF(GlobalGH,Climate!$G$89,Climate!$D$89)&lt;=0,"·",IF(IF(GlobalGH,Climate!$I$89,Climate!$F$89)&gt;Crops!$M$19,"H",IF(IF(GlobalGH,Climate!$H$89,Climate!$E$89)&lt;Crops!$K$19,"C","O")))</f>
        <v>·</v>
      </c>
      <c r="CI21" s="142" t="str">
        <f aca="false">IF(IF(GlobalGH,Climate!$G$90,Climate!$D$90)&lt;=0,"·",IF(IF(GlobalGH,Climate!$I$90,Climate!$F$90)&gt;Crops!$M$19,"H",IF(IF(GlobalGH,Climate!$H$90,Climate!$E$90)&lt;Crops!$K$19,"C","O")))</f>
        <v>·</v>
      </c>
      <c r="CJ21" s="142" t="str">
        <f aca="false">IF(IF(GlobalGH,Climate!$G$91,Climate!$D$91)&lt;=0,"·",IF(IF(GlobalGH,Climate!$I$91,Climate!$F$91)&gt;Crops!$M$19,"H",IF(IF(GlobalGH,Climate!$H$91,Climate!$E$91)&lt;Crops!$K$19,"C","O")))</f>
        <v>·</v>
      </c>
      <c r="CK21" s="142" t="str">
        <f aca="false">IF(IF(GlobalGH,Climate!$G$92,Climate!$D$92)&lt;=0,"·",IF(IF(GlobalGH,Climate!$I$92,Climate!$F$92)&gt;Crops!$M$19,"H",IF(IF(GlobalGH,Climate!$H$92,Climate!$E$92)&lt;Crops!$K$19,"C","O")))</f>
        <v>·</v>
      </c>
      <c r="CL21" s="142" t="str">
        <f aca="false">IF(IF(GlobalGH,Climate!$G$93,Climate!$D$93)&lt;=0,"·",IF(IF(GlobalGH,Climate!$I$93,Climate!$F$93)&gt;Crops!$M$19,"H",IF(IF(GlobalGH,Climate!$H$93,Climate!$E$93)&lt;Crops!$K$19,"C","O")))</f>
        <v>·</v>
      </c>
      <c r="CM21" s="142" t="str">
        <f aca="false">IF(IF(GlobalGH,Climate!$G$94,Climate!$D$94)&lt;=0,"·",IF(IF(GlobalGH,Climate!$I$94,Climate!$F$94)&gt;Crops!$M$19,"H",IF(IF(GlobalGH,Climate!$H$94,Climate!$E$94)&lt;Crops!$K$19,"C","O")))</f>
        <v>·</v>
      </c>
      <c r="CN21" s="142" t="str">
        <f aca="false">IF(IF(GlobalGH,Climate!$G$95,Climate!$D$95)&lt;=0,"·",IF(IF(GlobalGH,Climate!$I$95,Climate!$F$95)&gt;Crops!$M$19,"H",IF(IF(GlobalGH,Climate!$H$95,Climate!$E$95)&lt;Crops!$K$19,"C","O")))</f>
        <v>·</v>
      </c>
      <c r="CO21" s="142" t="str">
        <f aca="false">IF(IF(GlobalGH,Climate!$G$96,Climate!$D$96)&lt;=0,"·",IF(IF(GlobalGH,Climate!$I$96,Climate!$F$96)&gt;Crops!$M$19,"H",IF(IF(GlobalGH,Climate!$H$96,Climate!$E$96)&lt;Crops!$K$19,"C","O")))</f>
        <v>·</v>
      </c>
      <c r="CP21" s="142" t="str">
        <f aca="false">IF(IF(GlobalGH,Climate!$G$97,Climate!$D$97)&lt;=0,"·",IF(IF(GlobalGH,Climate!$I$97,Climate!$F$97)&gt;Crops!$M$19,"H",IF(IF(GlobalGH,Climate!$H$97,Climate!$E$97)&lt;Crops!$K$19,"C","O")))</f>
        <v>·</v>
      </c>
      <c r="CQ21" s="142" t="str">
        <f aca="false">IF(IF(GlobalGH,Climate!$G$98,Climate!$D$98)&lt;=0,"·",IF(IF(GlobalGH,Climate!$I$98,Climate!$F$98)&gt;Crops!$M$19,"H",IF(IF(GlobalGH,Climate!$H$98,Climate!$E$98)&lt;Crops!$K$19,"C","O")))</f>
        <v>·</v>
      </c>
      <c r="CR21" s="142" t="str">
        <f aca="false">IF(IF(GlobalGH,Climate!$G$99,Climate!$D$99)&lt;=0,"·",IF(IF(GlobalGH,Climate!$I$99,Climate!$F$99)&gt;Crops!$M$19,"H",IF(IF(GlobalGH,Climate!$H$99,Climate!$E$99)&lt;Crops!$K$19,"C","O")))</f>
        <v>·</v>
      </c>
      <c r="CS21" s="142" t="str">
        <f aca="false">IF(IF(GlobalGH,Climate!$G$100,Climate!$D$100)&lt;=0,"·",IF(IF(GlobalGH,Climate!$I$100,Climate!$F$100)&gt;Crops!$M$19,"H",IF(IF(GlobalGH,Climate!$H$100,Climate!$E$100)&lt;Crops!$K$19,"C","O")))</f>
        <v>·</v>
      </c>
      <c r="CT21" s="142" t="str">
        <f aca="false">IF(IF(GlobalGH,Climate!$G$101,Climate!$D$101)&lt;=0,"·",IF(IF(GlobalGH,Climate!$I$101,Climate!$F$101)&gt;Crops!$M$19,"H",IF(IF(GlobalGH,Climate!$H$101,Climate!$E$101)&lt;Crops!$K$19,"C","O")))</f>
        <v>·</v>
      </c>
      <c r="CU21" s="142" t="str">
        <f aca="false">IF(IF(GlobalGH,Climate!$G$102,Climate!$D$102)&lt;=0,"·",IF(IF(GlobalGH,Climate!$I$102,Climate!$F$102)&gt;Crops!$M$19,"H",IF(IF(GlobalGH,Climate!$H$102,Climate!$E$102)&lt;Crops!$K$19,"C","O")))</f>
        <v>·</v>
      </c>
      <c r="CV21" s="142" t="str">
        <f aca="false">IF(IF(GlobalGH,Climate!$G$103,Climate!$D$103)&lt;=0,"·",IF(IF(GlobalGH,Climate!$I$103,Climate!$F$103)&gt;Crops!$M$19,"H",IF(IF(GlobalGH,Climate!$H$103,Climate!$E$103)&lt;Crops!$K$19,"C","O")))</f>
        <v>·</v>
      </c>
      <c r="CW21" s="142" t="str">
        <f aca="false">IF(IF(GlobalGH,Climate!$G$104,Climate!$D$104)&lt;=0,"·",IF(IF(GlobalGH,Climate!$I$104,Climate!$F$104)&gt;Crops!$M$19,"H",IF(IF(GlobalGH,Climate!$H$104,Climate!$E$104)&lt;Crops!$K$19,"C","O")))</f>
        <v>·</v>
      </c>
      <c r="CX21" s="142" t="str">
        <f aca="false">IF(IF(GlobalGH,Climate!$G$105,Climate!$D$105)&lt;=0,"·",IF(IF(GlobalGH,Climate!$I$105,Climate!$F$105)&gt;Crops!$M$19,"H",IF(IF(GlobalGH,Climate!$H$105,Climate!$E$105)&lt;Crops!$K$19,"C","O")))</f>
        <v>·</v>
      </c>
      <c r="CY21" s="142" t="str">
        <f aca="false">IF(IF(GlobalGH,Climate!$G$106,Climate!$D$106)&lt;=0,"·",IF(IF(GlobalGH,Climate!$I$106,Climate!$F$106)&gt;Crops!$M$19,"H",IF(IF(GlobalGH,Climate!$H$106,Climate!$E$106)&lt;Crops!$K$19,"C","O")))</f>
        <v>·</v>
      </c>
      <c r="CZ21" s="142" t="str">
        <f aca="false">IF(IF(GlobalGH,Climate!$G$107,Climate!$D$107)&lt;=0,"·",IF(IF(GlobalGH,Climate!$I$107,Climate!$F$107)&gt;Crops!$M$19,"H",IF(IF(GlobalGH,Climate!$H$107,Climate!$E$107)&lt;Crops!$K$19,"C","O")))</f>
        <v>·</v>
      </c>
      <c r="DA21" s="142" t="str">
        <f aca="false">IF(IF(GlobalGH,Climate!$G$108,Climate!$D$108)&lt;=0,"·",IF(IF(GlobalGH,Climate!$I$108,Climate!$F$108)&gt;Crops!$M$19,"H",IF(IF(GlobalGH,Climate!$H$108,Climate!$E$108)&lt;Crops!$K$19,"C","O")))</f>
        <v>·</v>
      </c>
      <c r="DB21" s="142" t="str">
        <f aca="false">IF(IF(GlobalGH,Climate!$G$109,Climate!$D$109)&lt;=0,"·",IF(IF(GlobalGH,Climate!$I$109,Climate!$F$109)&gt;Crops!$M$19,"H",IF(IF(GlobalGH,Climate!$H$109,Climate!$E$109)&lt;Crops!$K$19,"C","O")))</f>
        <v>·</v>
      </c>
      <c r="DC21" s="142" t="str">
        <f aca="false">IF(IF(GlobalGH,Climate!$G$110,Climate!$D$110)&lt;=0,"·",IF(IF(GlobalGH,Climate!$I$110,Climate!$F$110)&gt;Crops!$M$19,"H",IF(IF(GlobalGH,Climate!$H$110,Climate!$E$110)&lt;Crops!$K$19,"C","O")))</f>
        <v>·</v>
      </c>
      <c r="DD21" s="142" t="str">
        <f aca="false">IF(IF(GlobalGH,Climate!$G$111,Climate!$D$111)&lt;=0,"·",IF(IF(GlobalGH,Climate!$I$111,Climate!$F$111)&gt;Crops!$M$19,"H",IF(IF(GlobalGH,Climate!$H$111,Climate!$E$111)&lt;Crops!$K$19,"C","O")))</f>
        <v>·</v>
      </c>
      <c r="DE21" s="142" t="str">
        <f aca="false">IF(IF(GlobalGH,Climate!$G$112,Climate!$D$112)&lt;=0,"·",IF(IF(GlobalGH,Climate!$I$112,Climate!$F$112)&gt;Crops!$M$19,"H",IF(IF(GlobalGH,Climate!$H$112,Climate!$E$112)&lt;Crops!$K$19,"C","O")))</f>
        <v>·</v>
      </c>
      <c r="DF21" s="143" t="n">
        <f aca="false">COUNTIF(B21:DE21,"O")</f>
        <v>20</v>
      </c>
      <c r="DG21" s="139" t="s">
        <v>421</v>
      </c>
    </row>
    <row r="22" customFormat="false" ht="15" hidden="false" customHeight="true" outlineLevel="0" collapsed="false">
      <c r="A22" s="144" t="str">
        <f aca="false">Crops!$B$20</f>
        <v>Peanut</v>
      </c>
      <c r="B22" s="142" t="str">
        <f aca="false">IF(IF(GlobalGH,Climate!$G$5,Climate!$D$5)&lt;=0,"·",IF(IF(GlobalGH,Climate!$I$5,Climate!$F$5)&gt;Crops!$M$20,"H",IF(IF(GlobalGH,Climate!$H$5,Climate!$E$5)&lt;Crops!$K$20,"C","O")))</f>
        <v>·</v>
      </c>
      <c r="C22" s="142" t="str">
        <f aca="false">IF(IF(GlobalGH,Climate!$G$6,Climate!$D$6)&lt;=0,"·",IF(IF(GlobalGH,Climate!$I$6,Climate!$F$6)&gt;Crops!$M$20,"H",IF(IF(GlobalGH,Climate!$H$6,Climate!$E$6)&lt;Crops!$K$20,"C","O")))</f>
        <v>·</v>
      </c>
      <c r="D22" s="142" t="str">
        <f aca="false">IF(IF(GlobalGH,Climate!$G$7,Climate!$D$7)&lt;=0,"·",IF(IF(GlobalGH,Climate!$I$7,Climate!$F$7)&gt;Crops!$M$20,"H",IF(IF(GlobalGH,Climate!$H$7,Climate!$E$7)&lt;Crops!$K$20,"C","O")))</f>
        <v>·</v>
      </c>
      <c r="E22" s="142" t="str">
        <f aca="false">IF(IF(GlobalGH,Climate!$G$8,Climate!$D$8)&lt;=0,"·",IF(IF(GlobalGH,Climate!$I$8,Climate!$F$8)&gt;Crops!$M$20,"H",IF(IF(GlobalGH,Climate!$H$8,Climate!$E$8)&lt;Crops!$K$20,"C","O")))</f>
        <v>·</v>
      </c>
      <c r="F22" s="142" t="str">
        <f aca="false">IF(IF(GlobalGH,Climate!$G$9,Climate!$D$9)&lt;=0,"·",IF(IF(GlobalGH,Climate!$I$9,Climate!$F$9)&gt;Crops!$M$20,"H",IF(IF(GlobalGH,Climate!$H$9,Climate!$E$9)&lt;Crops!$K$20,"C","O")))</f>
        <v>·</v>
      </c>
      <c r="G22" s="142" t="str">
        <f aca="false">IF(IF(GlobalGH,Climate!$G$10,Climate!$D$10)&lt;=0,"·",IF(IF(GlobalGH,Climate!$I$10,Climate!$F$10)&gt;Crops!$M$20,"H",IF(IF(GlobalGH,Climate!$H$10,Climate!$E$10)&lt;Crops!$K$20,"C","O")))</f>
        <v>·</v>
      </c>
      <c r="H22" s="142" t="str">
        <f aca="false">IF(IF(GlobalGH,Climate!$G$11,Climate!$D$11)&lt;=0,"·",IF(IF(GlobalGH,Climate!$I$11,Climate!$F$11)&gt;Crops!$M$20,"H",IF(IF(GlobalGH,Climate!$H$11,Climate!$E$11)&lt;Crops!$K$20,"C","O")))</f>
        <v>·</v>
      </c>
      <c r="I22" s="142" t="str">
        <f aca="false">IF(IF(GlobalGH,Climate!$G$12,Climate!$D$12)&lt;=0,"·",IF(IF(GlobalGH,Climate!$I$12,Climate!$F$12)&gt;Crops!$M$20,"H",IF(IF(GlobalGH,Climate!$H$12,Climate!$E$12)&lt;Crops!$K$20,"C","O")))</f>
        <v>·</v>
      </c>
      <c r="J22" s="142" t="str">
        <f aca="false">IF(IF(GlobalGH,Climate!$G$13,Climate!$D$13)&lt;=0,"·",IF(IF(GlobalGH,Climate!$I$13,Climate!$F$13)&gt;Crops!$M$20,"H",IF(IF(GlobalGH,Climate!$H$13,Climate!$E$13)&lt;Crops!$K$20,"C","O")))</f>
        <v>·</v>
      </c>
      <c r="K22" s="142" t="str">
        <f aca="false">IF(IF(GlobalGH,Climate!$G$14,Climate!$D$14)&lt;=0,"·",IF(IF(GlobalGH,Climate!$I$14,Climate!$F$14)&gt;Crops!$M$20,"H",IF(IF(GlobalGH,Climate!$H$14,Climate!$E$14)&lt;Crops!$K$20,"C","O")))</f>
        <v>·</v>
      </c>
      <c r="L22" s="142" t="str">
        <f aca="false">IF(IF(GlobalGH,Climate!$G$15,Climate!$D$15)&lt;=0,"·",IF(IF(GlobalGH,Climate!$I$15,Climate!$F$15)&gt;Crops!$M$20,"H",IF(IF(GlobalGH,Climate!$H$15,Climate!$E$15)&lt;Crops!$K$20,"C","O")))</f>
        <v>·</v>
      </c>
      <c r="M22" s="142" t="str">
        <f aca="false">IF(IF(GlobalGH,Climate!$G$16,Climate!$D$16)&lt;=0,"·",IF(IF(GlobalGH,Climate!$I$16,Climate!$F$16)&gt;Crops!$M$20,"H",IF(IF(GlobalGH,Climate!$H$16,Climate!$E$16)&lt;Crops!$K$20,"C","O")))</f>
        <v>·</v>
      </c>
      <c r="N22" s="142" t="str">
        <f aca="false">IF(IF(GlobalGH,Climate!$G$17,Climate!$D$17)&lt;=0,"·",IF(IF(GlobalGH,Climate!$I$17,Climate!$F$17)&gt;Crops!$M$20,"H",IF(IF(GlobalGH,Climate!$H$17,Climate!$E$17)&lt;Crops!$K$20,"C","O")))</f>
        <v>·</v>
      </c>
      <c r="O22" s="142" t="str">
        <f aca="false">IF(IF(GlobalGH,Climate!$G$18,Climate!$D$18)&lt;=0,"·",IF(IF(GlobalGH,Climate!$I$18,Climate!$F$18)&gt;Crops!$M$20,"H",IF(IF(GlobalGH,Climate!$H$18,Climate!$E$18)&lt;Crops!$K$20,"C","O")))</f>
        <v>·</v>
      </c>
      <c r="P22" s="142" t="str">
        <f aca="false">IF(IF(GlobalGH,Climate!$G$19,Climate!$D$19)&lt;=0,"·",IF(IF(GlobalGH,Climate!$I$19,Climate!$F$19)&gt;Crops!$M$20,"H",IF(IF(GlobalGH,Climate!$H$19,Climate!$E$19)&lt;Crops!$K$20,"C","O")))</f>
        <v>·</v>
      </c>
      <c r="Q22" s="142" t="str">
        <f aca="false">IF(IF(GlobalGH,Climate!$G$20,Climate!$D$20)&lt;=0,"·",IF(IF(GlobalGH,Climate!$I$20,Climate!$F$20)&gt;Crops!$M$20,"H",IF(IF(GlobalGH,Climate!$H$20,Climate!$E$20)&lt;Crops!$K$20,"C","O")))</f>
        <v>·</v>
      </c>
      <c r="R22" s="142" t="str">
        <f aca="false">IF(IF(GlobalGH,Climate!$G$21,Climate!$D$21)&lt;=0,"·",IF(IF(GlobalGH,Climate!$I$21,Climate!$F$21)&gt;Crops!$M$20,"H",IF(IF(GlobalGH,Climate!$H$21,Climate!$E$21)&lt;Crops!$K$20,"C","O")))</f>
        <v>·</v>
      </c>
      <c r="S22" s="142" t="str">
        <f aca="false">IF(IF(GlobalGH,Climate!$G$22,Climate!$D$22)&lt;=0,"·",IF(IF(GlobalGH,Climate!$I$22,Climate!$F$22)&gt;Crops!$M$20,"H",IF(IF(GlobalGH,Climate!$H$22,Climate!$E$22)&lt;Crops!$K$20,"C","O")))</f>
        <v>·</v>
      </c>
      <c r="T22" s="142" t="str">
        <f aca="false">IF(IF(GlobalGH,Climate!$G$23,Climate!$D$23)&lt;=0,"·",IF(IF(GlobalGH,Climate!$I$23,Climate!$F$23)&gt;Crops!$M$20,"H",IF(IF(GlobalGH,Climate!$H$23,Climate!$E$23)&lt;Crops!$K$20,"C","O")))</f>
        <v>·</v>
      </c>
      <c r="U22" s="142" t="str">
        <f aca="false">IF(IF(GlobalGH,Climate!$G$24,Climate!$D$24)&lt;=0,"·",IF(IF(GlobalGH,Climate!$I$24,Climate!$F$24)&gt;Crops!$M$20,"H",IF(IF(GlobalGH,Climate!$H$24,Climate!$E$24)&lt;Crops!$K$20,"C","O")))</f>
        <v>·</v>
      </c>
      <c r="V22" s="142" t="str">
        <f aca="false">IF(IF(GlobalGH,Climate!$G$25,Climate!$D$25)&lt;=0,"·",IF(IF(GlobalGH,Climate!$I$25,Climate!$F$25)&gt;Crops!$M$20,"H",IF(IF(GlobalGH,Climate!$H$25,Climate!$E$25)&lt;Crops!$K$20,"C","O")))</f>
        <v>·</v>
      </c>
      <c r="W22" s="142" t="str">
        <f aca="false">IF(IF(GlobalGH,Climate!$G$26,Climate!$D$26)&lt;=0,"·",IF(IF(GlobalGH,Climate!$I$26,Climate!$F$26)&gt;Crops!$M$20,"H",IF(IF(GlobalGH,Climate!$H$26,Climate!$E$26)&lt;Crops!$K$20,"C","O")))</f>
        <v>·</v>
      </c>
      <c r="X22" s="142" t="str">
        <f aca="false">IF(IF(GlobalGH,Climate!$G$27,Climate!$D$27)&lt;=0,"·",IF(IF(GlobalGH,Climate!$I$27,Climate!$F$27)&gt;Crops!$M$20,"H",IF(IF(GlobalGH,Climate!$H$27,Climate!$E$27)&lt;Crops!$K$20,"C","O")))</f>
        <v>·</v>
      </c>
      <c r="Y22" s="142" t="str">
        <f aca="false">IF(IF(GlobalGH,Climate!$G$28,Climate!$D$28)&lt;=0,"·",IF(IF(GlobalGH,Climate!$I$28,Climate!$F$28)&gt;Crops!$M$20,"H",IF(IF(GlobalGH,Climate!$H$28,Climate!$E$28)&lt;Crops!$K$20,"C","O")))</f>
        <v>·</v>
      </c>
      <c r="Z22" s="142" t="str">
        <f aca="false">IF(IF(GlobalGH,Climate!$G$29,Climate!$D$29)&lt;=0,"·",IF(IF(GlobalGH,Climate!$I$29,Climate!$F$29)&gt;Crops!$M$20,"H",IF(IF(GlobalGH,Climate!$H$29,Climate!$E$29)&lt;Crops!$K$20,"C","O")))</f>
        <v>·</v>
      </c>
      <c r="AA22" s="142" t="str">
        <f aca="false">IF(IF(GlobalGH,Climate!$G$30,Climate!$D$30)&lt;=0,"·",IF(IF(GlobalGH,Climate!$I$30,Climate!$F$30)&gt;Crops!$M$20,"H",IF(IF(GlobalGH,Climate!$H$30,Climate!$E$30)&lt;Crops!$K$20,"C","O")))</f>
        <v>·</v>
      </c>
      <c r="AB22" s="142" t="str">
        <f aca="false">IF(IF(GlobalGH,Climate!$G$31,Climate!$D$31)&lt;=0,"·",IF(IF(GlobalGH,Climate!$I$31,Climate!$F$31)&gt;Crops!$M$20,"H",IF(IF(GlobalGH,Climate!$H$31,Climate!$E$31)&lt;Crops!$K$20,"C","O")))</f>
        <v>·</v>
      </c>
      <c r="AC22" s="142" t="str">
        <f aca="false">IF(IF(GlobalGH,Climate!$G$32,Climate!$D$32)&lt;=0,"·",IF(IF(GlobalGH,Climate!$I$32,Climate!$F$32)&gt;Crops!$M$20,"H",IF(IF(GlobalGH,Climate!$H$32,Climate!$E$32)&lt;Crops!$K$20,"C","O")))</f>
        <v>·</v>
      </c>
      <c r="AD22" s="142" t="str">
        <f aca="false">IF(IF(GlobalGH,Climate!$G$33,Climate!$D$33)&lt;=0,"·",IF(IF(GlobalGH,Climate!$I$33,Climate!$F$33)&gt;Crops!$M$20,"H",IF(IF(GlobalGH,Climate!$H$33,Climate!$E$33)&lt;Crops!$K$20,"C","O")))</f>
        <v>·</v>
      </c>
      <c r="AE22" s="142" t="str">
        <f aca="false">IF(IF(GlobalGH,Climate!$G$34,Climate!$D$34)&lt;=0,"·",IF(IF(GlobalGH,Climate!$I$34,Climate!$F$34)&gt;Crops!$M$20,"H",IF(IF(GlobalGH,Climate!$H$34,Climate!$E$34)&lt;Crops!$K$20,"C","O")))</f>
        <v>·</v>
      </c>
      <c r="AF22" s="142" t="str">
        <f aca="false">IF(IF(GlobalGH,Climate!$G$35,Climate!$D$35)&lt;=0,"·",IF(IF(GlobalGH,Climate!$I$35,Climate!$F$35)&gt;Crops!$M$20,"H",IF(IF(GlobalGH,Climate!$H$35,Climate!$E$35)&lt;Crops!$K$20,"C","O")))</f>
        <v>·</v>
      </c>
      <c r="AG22" s="142" t="str">
        <f aca="false">IF(IF(GlobalGH,Climate!$G$36,Climate!$D$36)&lt;=0,"·",IF(IF(GlobalGH,Climate!$I$36,Climate!$F$36)&gt;Crops!$M$20,"H",IF(IF(GlobalGH,Climate!$H$36,Climate!$E$36)&lt;Crops!$K$20,"C","O")))</f>
        <v>·</v>
      </c>
      <c r="AH22" s="142" t="str">
        <f aca="false">IF(IF(GlobalGH,Climate!$G$37,Climate!$D$37)&lt;=0,"·",IF(IF(GlobalGH,Climate!$I$37,Climate!$F$37)&gt;Crops!$M$20,"H",IF(IF(GlobalGH,Climate!$H$37,Climate!$E$37)&lt;Crops!$K$20,"C","O")))</f>
        <v>·</v>
      </c>
      <c r="AI22" s="142" t="str">
        <f aca="false">IF(IF(GlobalGH,Climate!$G$38,Climate!$D$38)&lt;=0,"·",IF(IF(GlobalGH,Climate!$I$38,Climate!$F$38)&gt;Crops!$M$20,"H",IF(IF(GlobalGH,Climate!$H$38,Climate!$E$38)&lt;Crops!$K$20,"C","O")))</f>
        <v>C</v>
      </c>
      <c r="AJ22" s="142" t="str">
        <f aca="false">IF(IF(GlobalGH,Climate!$G$39,Climate!$D$39)&lt;=0,"·",IF(IF(GlobalGH,Climate!$I$39,Climate!$F$39)&gt;Crops!$M$20,"H",IF(IF(GlobalGH,Climate!$H$39,Climate!$E$39)&lt;Crops!$K$20,"C","O")))</f>
        <v>C</v>
      </c>
      <c r="AK22" s="142" t="str">
        <f aca="false">IF(IF(GlobalGH,Climate!$G$40,Climate!$D$40)&lt;=0,"·",IF(IF(GlobalGH,Climate!$I$40,Climate!$F$40)&gt;Crops!$M$20,"H",IF(IF(GlobalGH,Climate!$H$40,Climate!$E$40)&lt;Crops!$K$20,"C","O")))</f>
        <v>C</v>
      </c>
      <c r="AL22" s="142" t="str">
        <f aca="false">IF(IF(GlobalGH,Climate!$G$41,Climate!$D$41)&lt;=0,"·",IF(IF(GlobalGH,Climate!$I$41,Climate!$F$41)&gt;Crops!$M$20,"H",IF(IF(GlobalGH,Climate!$H$41,Climate!$E$41)&lt;Crops!$K$20,"C","O")))</f>
        <v>C</v>
      </c>
      <c r="AM22" s="142" t="str">
        <f aca="false">IF(IF(GlobalGH,Climate!$G$42,Climate!$D$42)&lt;=0,"·",IF(IF(GlobalGH,Climate!$I$42,Climate!$F$42)&gt;Crops!$M$20,"H",IF(IF(GlobalGH,Climate!$H$42,Climate!$E$42)&lt;Crops!$K$20,"C","O")))</f>
        <v>C</v>
      </c>
      <c r="AN22" s="142" t="str">
        <f aca="false">IF(IF(GlobalGH,Climate!$G$43,Climate!$D$43)&lt;=0,"·",IF(IF(GlobalGH,Climate!$I$43,Climate!$F$43)&gt;Crops!$M$20,"H",IF(IF(GlobalGH,Climate!$H$43,Climate!$E$43)&lt;Crops!$K$20,"C","O")))</f>
        <v>C</v>
      </c>
      <c r="AO22" s="142" t="str">
        <f aca="false">IF(IF(GlobalGH,Climate!$G$44,Climate!$D$44)&lt;=0,"·",IF(IF(GlobalGH,Climate!$I$44,Climate!$F$44)&gt;Crops!$M$20,"H",IF(IF(GlobalGH,Climate!$H$44,Climate!$E$44)&lt;Crops!$K$20,"C","O")))</f>
        <v>C</v>
      </c>
      <c r="AP22" s="142" t="str">
        <f aca="false">IF(IF(GlobalGH,Climate!$G$45,Climate!$D$45)&lt;=0,"·",IF(IF(GlobalGH,Climate!$I$45,Climate!$F$45)&gt;Crops!$M$20,"H",IF(IF(GlobalGH,Climate!$H$45,Climate!$E$45)&lt;Crops!$K$20,"C","O")))</f>
        <v>C</v>
      </c>
      <c r="AQ22" s="142" t="str">
        <f aca="false">IF(IF(GlobalGH,Climate!$G$46,Climate!$D$46)&lt;=0,"·",IF(IF(GlobalGH,Climate!$I$46,Climate!$F$46)&gt;Crops!$M$20,"H",IF(IF(GlobalGH,Climate!$H$46,Climate!$E$46)&lt;Crops!$K$20,"C","O")))</f>
        <v>C</v>
      </c>
      <c r="AR22" s="142" t="str">
        <f aca="false">IF(IF(GlobalGH,Climate!$G$47,Climate!$D$47)&lt;=0,"·",IF(IF(GlobalGH,Climate!$I$47,Climate!$F$47)&gt;Crops!$M$20,"H",IF(IF(GlobalGH,Climate!$H$47,Climate!$E$47)&lt;Crops!$K$20,"C","O")))</f>
        <v>C</v>
      </c>
      <c r="AS22" s="142" t="str">
        <f aca="false">IF(IF(GlobalGH,Climate!$G$48,Climate!$D$48)&lt;=0,"·",IF(IF(GlobalGH,Climate!$I$48,Climate!$F$48)&gt;Crops!$M$20,"H",IF(IF(GlobalGH,Climate!$H$48,Climate!$E$48)&lt;Crops!$K$20,"C","O")))</f>
        <v>C</v>
      </c>
      <c r="AT22" s="142" t="str">
        <f aca="false">IF(IF(GlobalGH,Climate!$G$49,Climate!$D$49)&lt;=0,"·",IF(IF(GlobalGH,Climate!$I$49,Climate!$F$49)&gt;Crops!$M$20,"H",IF(IF(GlobalGH,Climate!$H$49,Climate!$E$49)&lt;Crops!$K$20,"C","O")))</f>
        <v>C</v>
      </c>
      <c r="AU22" s="142" t="str">
        <f aca="false">IF(IF(GlobalGH,Climate!$G$50,Climate!$D$50)&lt;=0,"·",IF(IF(GlobalGH,Climate!$I$50,Climate!$F$50)&gt;Crops!$M$20,"H",IF(IF(GlobalGH,Climate!$H$50,Climate!$E$50)&lt;Crops!$K$20,"C","O")))</f>
        <v>C</v>
      </c>
      <c r="AV22" s="142" t="str">
        <f aca="false">IF(IF(GlobalGH,Climate!$G$51,Climate!$D$51)&lt;=0,"·",IF(IF(GlobalGH,Climate!$I$51,Climate!$F$51)&gt;Crops!$M$20,"H",IF(IF(GlobalGH,Climate!$H$51,Climate!$E$51)&lt;Crops!$K$20,"C","O")))</f>
        <v>C</v>
      </c>
      <c r="AW22" s="142" t="str">
        <f aca="false">IF(IF(GlobalGH,Climate!$G$52,Climate!$D$52)&lt;=0,"·",IF(IF(GlobalGH,Climate!$I$52,Climate!$F$52)&gt;Crops!$M$20,"H",IF(IF(GlobalGH,Climate!$H$52,Climate!$E$52)&lt;Crops!$K$20,"C","O")))</f>
        <v>C</v>
      </c>
      <c r="AX22" s="142" t="str">
        <f aca="false">IF(IF(GlobalGH,Climate!$G$53,Climate!$D$53)&lt;=0,"·",IF(IF(GlobalGH,Climate!$I$53,Climate!$F$53)&gt;Crops!$M$20,"H",IF(IF(GlobalGH,Climate!$H$53,Climate!$E$53)&lt;Crops!$K$20,"C","O")))</f>
        <v>C</v>
      </c>
      <c r="AY22" s="142" t="str">
        <f aca="false">IF(IF(GlobalGH,Climate!$G$54,Climate!$D$54)&lt;=0,"·",IF(IF(GlobalGH,Climate!$I$54,Climate!$F$54)&gt;Crops!$M$20,"H",IF(IF(GlobalGH,Climate!$H$54,Climate!$E$54)&lt;Crops!$K$20,"C","O")))</f>
        <v>C</v>
      </c>
      <c r="AZ22" s="142" t="str">
        <f aca="false">IF(IF(GlobalGH,Climate!$G$55,Climate!$D$55)&lt;=0,"·",IF(IF(GlobalGH,Climate!$I$55,Climate!$F$55)&gt;Crops!$M$20,"H",IF(IF(GlobalGH,Climate!$H$55,Climate!$E$55)&lt;Crops!$K$20,"C","O")))</f>
        <v>C</v>
      </c>
      <c r="BA22" s="142" t="str">
        <f aca="false">IF(IF(GlobalGH,Climate!$G$56,Climate!$D$56)&lt;=0,"·",IF(IF(GlobalGH,Climate!$I$56,Climate!$F$56)&gt;Crops!$M$20,"H",IF(IF(GlobalGH,Climate!$H$56,Climate!$E$56)&lt;Crops!$K$20,"C","O")))</f>
        <v>C</v>
      </c>
      <c r="BB22" s="142" t="str">
        <f aca="false">IF(IF(GlobalGH,Climate!$G$57,Climate!$D$57)&lt;=0,"·",IF(IF(GlobalGH,Climate!$I$57,Climate!$F$57)&gt;Crops!$M$20,"H",IF(IF(GlobalGH,Climate!$H$57,Climate!$E$57)&lt;Crops!$K$20,"C","O")))</f>
        <v>C</v>
      </c>
      <c r="BC22" s="142" t="str">
        <f aca="false">IF(IF(GlobalGH,Climate!$G$58,Climate!$D$58)&lt;=0,"·",IF(IF(GlobalGH,Climate!$I$58,Climate!$F$58)&gt;Crops!$M$20,"H",IF(IF(GlobalGH,Climate!$H$58,Climate!$E$58)&lt;Crops!$K$20,"C","O")))</f>
        <v>C</v>
      </c>
      <c r="BD22" s="142" t="str">
        <f aca="false">IF(IF(GlobalGH,Climate!$G$59,Climate!$D$59)&lt;=0,"·",IF(IF(GlobalGH,Climate!$I$59,Climate!$F$59)&gt;Crops!$M$20,"H",IF(IF(GlobalGH,Climate!$H$59,Climate!$E$59)&lt;Crops!$K$20,"C","O")))</f>
        <v>C</v>
      </c>
      <c r="BE22" s="142" t="str">
        <f aca="false">IF(IF(GlobalGH,Climate!$G$60,Climate!$D$60)&lt;=0,"·",IF(IF(GlobalGH,Climate!$I$60,Climate!$F$60)&gt;Crops!$M$20,"H",IF(IF(GlobalGH,Climate!$H$60,Climate!$E$60)&lt;Crops!$K$20,"C","O")))</f>
        <v>C</v>
      </c>
      <c r="BF22" s="142" t="str">
        <f aca="false">IF(IF(GlobalGH,Climate!$G$61,Climate!$D$61)&lt;=0,"·",IF(IF(GlobalGH,Climate!$I$61,Climate!$F$61)&gt;Crops!$M$20,"H",IF(IF(GlobalGH,Climate!$H$61,Climate!$E$61)&lt;Crops!$K$20,"C","O")))</f>
        <v>C</v>
      </c>
      <c r="BG22" s="142" t="str">
        <f aca="false">IF(IF(GlobalGH,Climate!$G$62,Climate!$D$62)&lt;=0,"·",IF(IF(GlobalGH,Climate!$I$62,Climate!$F$62)&gt;Crops!$M$20,"H",IF(IF(GlobalGH,Climate!$H$62,Climate!$E$62)&lt;Crops!$K$20,"C","O")))</f>
        <v>C</v>
      </c>
      <c r="BH22" s="142" t="str">
        <f aca="false">IF(IF(GlobalGH,Climate!$G$63,Climate!$D$63)&lt;=0,"·",IF(IF(GlobalGH,Climate!$I$63,Climate!$F$63)&gt;Crops!$M$20,"H",IF(IF(GlobalGH,Climate!$H$63,Climate!$E$63)&lt;Crops!$K$20,"C","O")))</f>
        <v>C</v>
      </c>
      <c r="BI22" s="142" t="str">
        <f aca="false">IF(IF(GlobalGH,Climate!$G$64,Climate!$D$64)&lt;=0,"·",IF(IF(GlobalGH,Climate!$I$64,Climate!$F$64)&gt;Crops!$M$20,"H",IF(IF(GlobalGH,Climate!$H$64,Climate!$E$64)&lt;Crops!$K$20,"C","O")))</f>
        <v>C</v>
      </c>
      <c r="BJ22" s="142" t="str">
        <f aca="false">IF(IF(GlobalGH,Climate!$G$65,Climate!$D$65)&lt;=0,"·",IF(IF(GlobalGH,Climate!$I$65,Climate!$F$65)&gt;Crops!$M$20,"H",IF(IF(GlobalGH,Climate!$H$65,Climate!$E$65)&lt;Crops!$K$20,"C","O")))</f>
        <v>C</v>
      </c>
      <c r="BK22" s="142" t="str">
        <f aca="false">IF(IF(GlobalGH,Climate!$G$66,Climate!$D$66)&lt;=0,"·",IF(IF(GlobalGH,Climate!$I$66,Climate!$F$66)&gt;Crops!$M$20,"H",IF(IF(GlobalGH,Climate!$H$66,Climate!$E$66)&lt;Crops!$K$20,"C","O")))</f>
        <v>C</v>
      </c>
      <c r="BL22" s="142" t="str">
        <f aca="false">IF(IF(GlobalGH,Climate!$G$67,Climate!$D$67)&lt;=0,"·",IF(IF(GlobalGH,Climate!$I$67,Climate!$F$67)&gt;Crops!$M$20,"H",IF(IF(GlobalGH,Climate!$H$67,Climate!$E$67)&lt;Crops!$K$20,"C","O")))</f>
        <v>C</v>
      </c>
      <c r="BM22" s="142" t="str">
        <f aca="false">IF(IF(GlobalGH,Climate!$G$68,Climate!$D$68)&lt;=0,"·",IF(IF(GlobalGH,Climate!$I$68,Climate!$F$68)&gt;Crops!$M$20,"H",IF(IF(GlobalGH,Climate!$H$68,Climate!$E$68)&lt;Crops!$K$20,"C","O")))</f>
        <v>C</v>
      </c>
      <c r="BN22" s="142" t="str">
        <f aca="false">IF(IF(GlobalGH,Climate!$G$69,Climate!$D$69)&lt;=0,"·",IF(IF(GlobalGH,Climate!$I$69,Climate!$F$69)&gt;Crops!$M$20,"H",IF(IF(GlobalGH,Climate!$H$69,Climate!$E$69)&lt;Crops!$K$20,"C","O")))</f>
        <v>C</v>
      </c>
      <c r="BO22" s="142" t="str">
        <f aca="false">IF(IF(GlobalGH,Climate!$G$70,Climate!$D$70)&lt;=0,"·",IF(IF(GlobalGH,Climate!$I$70,Climate!$F$70)&gt;Crops!$M$20,"H",IF(IF(GlobalGH,Climate!$H$70,Climate!$E$70)&lt;Crops!$K$20,"C","O")))</f>
        <v>C</v>
      </c>
      <c r="BP22" s="142" t="str">
        <f aca="false">IF(IF(GlobalGH,Climate!$G$71,Climate!$D$71)&lt;=0,"·",IF(IF(GlobalGH,Climate!$I$71,Climate!$F$71)&gt;Crops!$M$20,"H",IF(IF(GlobalGH,Climate!$H$71,Climate!$E$71)&lt;Crops!$K$20,"C","O")))</f>
        <v>C</v>
      </c>
      <c r="BQ22" s="142" t="str">
        <f aca="false">IF(IF(GlobalGH,Climate!$G$72,Climate!$D$72)&lt;=0,"·",IF(IF(GlobalGH,Climate!$I$72,Climate!$F$72)&gt;Crops!$M$20,"H",IF(IF(GlobalGH,Climate!$H$72,Climate!$E$72)&lt;Crops!$K$20,"C","O")))</f>
        <v>C</v>
      </c>
      <c r="BR22" s="142" t="str">
        <f aca="false">IF(IF(GlobalGH,Climate!$G$73,Climate!$D$73)&lt;=0,"·",IF(IF(GlobalGH,Climate!$I$73,Climate!$F$73)&gt;Crops!$M$20,"H",IF(IF(GlobalGH,Climate!$H$73,Climate!$E$73)&lt;Crops!$K$20,"C","O")))</f>
        <v>C</v>
      </c>
      <c r="BS22" s="142" t="str">
        <f aca="false">IF(IF(GlobalGH,Climate!$G$74,Climate!$D$74)&lt;=0,"·",IF(IF(GlobalGH,Climate!$I$74,Climate!$F$74)&gt;Crops!$M$20,"H",IF(IF(GlobalGH,Climate!$H$74,Climate!$E$74)&lt;Crops!$K$20,"C","O")))</f>
        <v>C</v>
      </c>
      <c r="BT22" s="142" t="str">
        <f aca="false">IF(IF(GlobalGH,Climate!$G$75,Climate!$D$75)&lt;=0,"·",IF(IF(GlobalGH,Climate!$I$75,Climate!$F$75)&gt;Crops!$M$20,"H",IF(IF(GlobalGH,Climate!$H$75,Climate!$E$75)&lt;Crops!$K$20,"C","O")))</f>
        <v>C</v>
      </c>
      <c r="BU22" s="142" t="str">
        <f aca="false">IF(IF(GlobalGH,Climate!$G$76,Climate!$D$76)&lt;=0,"·",IF(IF(GlobalGH,Climate!$I$76,Climate!$F$76)&gt;Crops!$M$20,"H",IF(IF(GlobalGH,Climate!$H$76,Climate!$E$76)&lt;Crops!$K$20,"C","O")))</f>
        <v>C</v>
      </c>
      <c r="BV22" s="142" t="str">
        <f aca="false">IF(IF(GlobalGH,Climate!$G$77,Climate!$D$77)&lt;=0,"·",IF(IF(GlobalGH,Climate!$I$77,Climate!$F$77)&gt;Crops!$M$20,"H",IF(IF(GlobalGH,Climate!$H$77,Climate!$E$77)&lt;Crops!$K$20,"C","O")))</f>
        <v>C</v>
      </c>
      <c r="BW22" s="142" t="str">
        <f aca="false">IF(IF(GlobalGH,Climate!$G$78,Climate!$D$78)&lt;=0,"·",IF(IF(GlobalGH,Climate!$I$78,Climate!$F$78)&gt;Crops!$M$20,"H",IF(IF(GlobalGH,Climate!$H$78,Climate!$E$78)&lt;Crops!$K$20,"C","O")))</f>
        <v>C</v>
      </c>
      <c r="BX22" s="142" t="str">
        <f aca="false">IF(IF(GlobalGH,Climate!$G$79,Climate!$D$79)&lt;=0,"·",IF(IF(GlobalGH,Climate!$I$79,Climate!$F$79)&gt;Crops!$M$20,"H",IF(IF(GlobalGH,Climate!$H$79,Climate!$E$79)&lt;Crops!$K$20,"C","O")))</f>
        <v>C</v>
      </c>
      <c r="BY22" s="142" t="str">
        <f aca="false">IF(IF(GlobalGH,Climate!$G$80,Climate!$D$80)&lt;=0,"·",IF(IF(GlobalGH,Climate!$I$80,Climate!$F$80)&gt;Crops!$M$20,"H",IF(IF(GlobalGH,Climate!$H$80,Climate!$E$80)&lt;Crops!$K$20,"C","O")))</f>
        <v>C</v>
      </c>
      <c r="BZ22" s="142" t="str">
        <f aca="false">IF(IF(GlobalGH,Climate!$G$81,Climate!$D$81)&lt;=0,"·",IF(IF(GlobalGH,Climate!$I$81,Climate!$F$81)&gt;Crops!$M$20,"H",IF(IF(GlobalGH,Climate!$H$81,Climate!$E$81)&lt;Crops!$K$20,"C","O")))</f>
        <v>C</v>
      </c>
      <c r="CA22" s="142" t="str">
        <f aca="false">IF(IF(GlobalGH,Climate!$G$82,Climate!$D$82)&lt;=0,"·",IF(IF(GlobalGH,Climate!$I$82,Climate!$F$82)&gt;Crops!$M$20,"H",IF(IF(GlobalGH,Climate!$H$82,Climate!$E$82)&lt;Crops!$K$20,"C","O")))</f>
        <v>C</v>
      </c>
      <c r="CB22" s="142" t="str">
        <f aca="false">IF(IF(GlobalGH,Climate!$G$83,Climate!$D$83)&lt;=0,"·",IF(IF(GlobalGH,Climate!$I$83,Climate!$F$83)&gt;Crops!$M$20,"H",IF(IF(GlobalGH,Climate!$H$83,Climate!$E$83)&lt;Crops!$K$20,"C","O")))</f>
        <v>C</v>
      </c>
      <c r="CC22" s="142" t="str">
        <f aca="false">IF(IF(GlobalGH,Climate!$G$84,Climate!$D$84)&lt;=0,"·",IF(IF(GlobalGH,Climate!$I$84,Climate!$F$84)&gt;Crops!$M$20,"H",IF(IF(GlobalGH,Climate!$H$84,Climate!$E$84)&lt;Crops!$K$20,"C","O")))</f>
        <v>C</v>
      </c>
      <c r="CD22" s="142" t="str">
        <f aca="false">IF(IF(GlobalGH,Climate!$G$85,Climate!$D$85)&lt;=0,"·",IF(IF(GlobalGH,Climate!$I$85,Climate!$F$85)&gt;Crops!$M$20,"H",IF(IF(GlobalGH,Climate!$H$85,Climate!$E$85)&lt;Crops!$K$20,"C","O")))</f>
        <v>C</v>
      </c>
      <c r="CE22" s="142" t="str">
        <f aca="false">IF(IF(GlobalGH,Climate!$G$86,Climate!$D$86)&lt;=0,"·",IF(IF(GlobalGH,Climate!$I$86,Climate!$F$86)&gt;Crops!$M$20,"H",IF(IF(GlobalGH,Climate!$H$86,Climate!$E$86)&lt;Crops!$K$20,"C","O")))</f>
        <v>C</v>
      </c>
      <c r="CF22" s="142" t="str">
        <f aca="false">IF(IF(GlobalGH,Climate!$G$87,Climate!$D$87)&lt;=0,"·",IF(IF(GlobalGH,Climate!$I$87,Climate!$F$87)&gt;Crops!$M$20,"H",IF(IF(GlobalGH,Climate!$H$87,Climate!$E$87)&lt;Crops!$K$20,"C","O")))</f>
        <v>C</v>
      </c>
      <c r="CG22" s="142" t="str">
        <f aca="false">IF(IF(GlobalGH,Climate!$G$88,Climate!$D$88)&lt;=0,"·",IF(IF(GlobalGH,Climate!$I$88,Climate!$F$88)&gt;Crops!$M$20,"H",IF(IF(GlobalGH,Climate!$H$88,Climate!$E$88)&lt;Crops!$K$20,"C","O")))</f>
        <v>·</v>
      </c>
      <c r="CH22" s="142" t="str">
        <f aca="false">IF(IF(GlobalGH,Climate!$G$89,Climate!$D$89)&lt;=0,"·",IF(IF(GlobalGH,Climate!$I$89,Climate!$F$89)&gt;Crops!$M$20,"H",IF(IF(GlobalGH,Climate!$H$89,Climate!$E$89)&lt;Crops!$K$20,"C","O")))</f>
        <v>·</v>
      </c>
      <c r="CI22" s="142" t="str">
        <f aca="false">IF(IF(GlobalGH,Climate!$G$90,Climate!$D$90)&lt;=0,"·",IF(IF(GlobalGH,Climate!$I$90,Climate!$F$90)&gt;Crops!$M$20,"H",IF(IF(GlobalGH,Climate!$H$90,Climate!$E$90)&lt;Crops!$K$20,"C","O")))</f>
        <v>·</v>
      </c>
      <c r="CJ22" s="142" t="str">
        <f aca="false">IF(IF(GlobalGH,Climate!$G$91,Climate!$D$91)&lt;=0,"·",IF(IF(GlobalGH,Climate!$I$91,Climate!$F$91)&gt;Crops!$M$20,"H",IF(IF(GlobalGH,Climate!$H$91,Climate!$E$91)&lt;Crops!$K$20,"C","O")))</f>
        <v>·</v>
      </c>
      <c r="CK22" s="142" t="str">
        <f aca="false">IF(IF(GlobalGH,Climate!$G$92,Climate!$D$92)&lt;=0,"·",IF(IF(GlobalGH,Climate!$I$92,Climate!$F$92)&gt;Crops!$M$20,"H",IF(IF(GlobalGH,Climate!$H$92,Climate!$E$92)&lt;Crops!$K$20,"C","O")))</f>
        <v>·</v>
      </c>
      <c r="CL22" s="142" t="str">
        <f aca="false">IF(IF(GlobalGH,Climate!$G$93,Climate!$D$93)&lt;=0,"·",IF(IF(GlobalGH,Climate!$I$93,Climate!$F$93)&gt;Crops!$M$20,"H",IF(IF(GlobalGH,Climate!$H$93,Climate!$E$93)&lt;Crops!$K$20,"C","O")))</f>
        <v>·</v>
      </c>
      <c r="CM22" s="142" t="str">
        <f aca="false">IF(IF(GlobalGH,Climate!$G$94,Climate!$D$94)&lt;=0,"·",IF(IF(GlobalGH,Climate!$I$94,Climate!$F$94)&gt;Crops!$M$20,"H",IF(IF(GlobalGH,Climate!$H$94,Climate!$E$94)&lt;Crops!$K$20,"C","O")))</f>
        <v>·</v>
      </c>
      <c r="CN22" s="142" t="str">
        <f aca="false">IF(IF(GlobalGH,Climate!$G$95,Climate!$D$95)&lt;=0,"·",IF(IF(GlobalGH,Climate!$I$95,Climate!$F$95)&gt;Crops!$M$20,"H",IF(IF(GlobalGH,Climate!$H$95,Climate!$E$95)&lt;Crops!$K$20,"C","O")))</f>
        <v>·</v>
      </c>
      <c r="CO22" s="142" t="str">
        <f aca="false">IF(IF(GlobalGH,Climate!$G$96,Climate!$D$96)&lt;=0,"·",IF(IF(GlobalGH,Climate!$I$96,Climate!$F$96)&gt;Crops!$M$20,"H",IF(IF(GlobalGH,Climate!$H$96,Climate!$E$96)&lt;Crops!$K$20,"C","O")))</f>
        <v>·</v>
      </c>
      <c r="CP22" s="142" t="str">
        <f aca="false">IF(IF(GlobalGH,Climate!$G$97,Climate!$D$97)&lt;=0,"·",IF(IF(GlobalGH,Climate!$I$97,Climate!$F$97)&gt;Crops!$M$20,"H",IF(IF(GlobalGH,Climate!$H$97,Climate!$E$97)&lt;Crops!$K$20,"C","O")))</f>
        <v>·</v>
      </c>
      <c r="CQ22" s="142" t="str">
        <f aca="false">IF(IF(GlobalGH,Climate!$G$98,Climate!$D$98)&lt;=0,"·",IF(IF(GlobalGH,Climate!$I$98,Climate!$F$98)&gt;Crops!$M$20,"H",IF(IF(GlobalGH,Climate!$H$98,Climate!$E$98)&lt;Crops!$K$20,"C","O")))</f>
        <v>·</v>
      </c>
      <c r="CR22" s="142" t="str">
        <f aca="false">IF(IF(GlobalGH,Climate!$G$99,Climate!$D$99)&lt;=0,"·",IF(IF(GlobalGH,Climate!$I$99,Climate!$F$99)&gt;Crops!$M$20,"H",IF(IF(GlobalGH,Climate!$H$99,Climate!$E$99)&lt;Crops!$K$20,"C","O")))</f>
        <v>·</v>
      </c>
      <c r="CS22" s="142" t="str">
        <f aca="false">IF(IF(GlobalGH,Climate!$G$100,Climate!$D$100)&lt;=0,"·",IF(IF(GlobalGH,Climate!$I$100,Climate!$F$100)&gt;Crops!$M$20,"H",IF(IF(GlobalGH,Climate!$H$100,Climate!$E$100)&lt;Crops!$K$20,"C","O")))</f>
        <v>·</v>
      </c>
      <c r="CT22" s="142" t="str">
        <f aca="false">IF(IF(GlobalGH,Climate!$G$101,Climate!$D$101)&lt;=0,"·",IF(IF(GlobalGH,Climate!$I$101,Climate!$F$101)&gt;Crops!$M$20,"H",IF(IF(GlobalGH,Climate!$H$101,Climate!$E$101)&lt;Crops!$K$20,"C","O")))</f>
        <v>·</v>
      </c>
      <c r="CU22" s="142" t="str">
        <f aca="false">IF(IF(GlobalGH,Climate!$G$102,Climate!$D$102)&lt;=0,"·",IF(IF(GlobalGH,Climate!$I$102,Climate!$F$102)&gt;Crops!$M$20,"H",IF(IF(GlobalGH,Climate!$H$102,Climate!$E$102)&lt;Crops!$K$20,"C","O")))</f>
        <v>·</v>
      </c>
      <c r="CV22" s="142" t="str">
        <f aca="false">IF(IF(GlobalGH,Climate!$G$103,Climate!$D$103)&lt;=0,"·",IF(IF(GlobalGH,Climate!$I$103,Climate!$F$103)&gt;Crops!$M$20,"H",IF(IF(GlobalGH,Climate!$H$103,Climate!$E$103)&lt;Crops!$K$20,"C","O")))</f>
        <v>·</v>
      </c>
      <c r="CW22" s="142" t="str">
        <f aca="false">IF(IF(GlobalGH,Climate!$G$104,Climate!$D$104)&lt;=0,"·",IF(IF(GlobalGH,Climate!$I$104,Climate!$F$104)&gt;Crops!$M$20,"H",IF(IF(GlobalGH,Climate!$H$104,Climate!$E$104)&lt;Crops!$K$20,"C","O")))</f>
        <v>·</v>
      </c>
      <c r="CX22" s="142" t="str">
        <f aca="false">IF(IF(GlobalGH,Climate!$G$105,Climate!$D$105)&lt;=0,"·",IF(IF(GlobalGH,Climate!$I$105,Climate!$F$105)&gt;Crops!$M$20,"H",IF(IF(GlobalGH,Climate!$H$105,Climate!$E$105)&lt;Crops!$K$20,"C","O")))</f>
        <v>·</v>
      </c>
      <c r="CY22" s="142" t="str">
        <f aca="false">IF(IF(GlobalGH,Climate!$G$106,Climate!$D$106)&lt;=0,"·",IF(IF(GlobalGH,Climate!$I$106,Climate!$F$106)&gt;Crops!$M$20,"H",IF(IF(GlobalGH,Climate!$H$106,Climate!$E$106)&lt;Crops!$K$20,"C","O")))</f>
        <v>·</v>
      </c>
      <c r="CZ22" s="142" t="str">
        <f aca="false">IF(IF(GlobalGH,Climate!$G$107,Climate!$D$107)&lt;=0,"·",IF(IF(GlobalGH,Climate!$I$107,Climate!$F$107)&gt;Crops!$M$20,"H",IF(IF(GlobalGH,Climate!$H$107,Climate!$E$107)&lt;Crops!$K$20,"C","O")))</f>
        <v>·</v>
      </c>
      <c r="DA22" s="142" t="str">
        <f aca="false">IF(IF(GlobalGH,Climate!$G$108,Climate!$D$108)&lt;=0,"·",IF(IF(GlobalGH,Climate!$I$108,Climate!$F$108)&gt;Crops!$M$20,"H",IF(IF(GlobalGH,Climate!$H$108,Climate!$E$108)&lt;Crops!$K$20,"C","O")))</f>
        <v>·</v>
      </c>
      <c r="DB22" s="142" t="str">
        <f aca="false">IF(IF(GlobalGH,Climate!$G$109,Climate!$D$109)&lt;=0,"·",IF(IF(GlobalGH,Climate!$I$109,Climate!$F$109)&gt;Crops!$M$20,"H",IF(IF(GlobalGH,Climate!$H$109,Climate!$E$109)&lt;Crops!$K$20,"C","O")))</f>
        <v>·</v>
      </c>
      <c r="DC22" s="142" t="str">
        <f aca="false">IF(IF(GlobalGH,Climate!$G$110,Climate!$D$110)&lt;=0,"·",IF(IF(GlobalGH,Climate!$I$110,Climate!$F$110)&gt;Crops!$M$20,"H",IF(IF(GlobalGH,Climate!$H$110,Climate!$E$110)&lt;Crops!$K$20,"C","O")))</f>
        <v>·</v>
      </c>
      <c r="DD22" s="142" t="str">
        <f aca="false">IF(IF(GlobalGH,Climate!$G$111,Climate!$D$111)&lt;=0,"·",IF(IF(GlobalGH,Climate!$I$111,Climate!$F$111)&gt;Crops!$M$20,"H",IF(IF(GlobalGH,Climate!$H$111,Climate!$E$111)&lt;Crops!$K$20,"C","O")))</f>
        <v>·</v>
      </c>
      <c r="DE22" s="142" t="str">
        <f aca="false">IF(IF(GlobalGH,Climate!$G$112,Climate!$D$112)&lt;=0,"·",IF(IF(GlobalGH,Climate!$I$112,Climate!$F$112)&gt;Crops!$M$20,"H",IF(IF(GlobalGH,Climate!$H$112,Climate!$E$112)&lt;Crops!$K$20,"C","O")))</f>
        <v>·</v>
      </c>
      <c r="DF22" s="143" t="n">
        <f aca="false">COUNTIF(B22:DE22,"O")</f>
        <v>0</v>
      </c>
      <c r="DG22" s="139" t="s">
        <v>421</v>
      </c>
    </row>
    <row r="23" customFormat="false" ht="15" hidden="false" customHeight="true" outlineLevel="0" collapsed="false">
      <c r="A23" s="141" t="str">
        <f aca="false">Crops!$B$21</f>
        <v>Rice</v>
      </c>
      <c r="B23" s="142" t="str">
        <f aca="false">IF(IF(GlobalGH,Climate!$G$5,Climate!$D$5)&lt;=0,"·",IF(IF(GlobalGH,Climate!$I$5,Climate!$F$5)&gt;Crops!$M$21,"H",IF(IF(GlobalGH,Climate!$H$5,Climate!$E$5)&lt;Crops!$K$21,"C","O")))</f>
        <v>·</v>
      </c>
      <c r="C23" s="142" t="str">
        <f aca="false">IF(IF(GlobalGH,Climate!$G$6,Climate!$D$6)&lt;=0,"·",IF(IF(GlobalGH,Climate!$I$6,Climate!$F$6)&gt;Crops!$M$21,"H",IF(IF(GlobalGH,Climate!$H$6,Climate!$E$6)&lt;Crops!$K$21,"C","O")))</f>
        <v>·</v>
      </c>
      <c r="D23" s="142" t="str">
        <f aca="false">IF(IF(GlobalGH,Climate!$G$7,Climate!$D$7)&lt;=0,"·",IF(IF(GlobalGH,Climate!$I$7,Climate!$F$7)&gt;Crops!$M$21,"H",IF(IF(GlobalGH,Climate!$H$7,Climate!$E$7)&lt;Crops!$K$21,"C","O")))</f>
        <v>·</v>
      </c>
      <c r="E23" s="142" t="str">
        <f aca="false">IF(IF(GlobalGH,Climate!$G$8,Climate!$D$8)&lt;=0,"·",IF(IF(GlobalGH,Climate!$I$8,Climate!$F$8)&gt;Crops!$M$21,"H",IF(IF(GlobalGH,Climate!$H$8,Climate!$E$8)&lt;Crops!$K$21,"C","O")))</f>
        <v>·</v>
      </c>
      <c r="F23" s="142" t="str">
        <f aca="false">IF(IF(GlobalGH,Climate!$G$9,Climate!$D$9)&lt;=0,"·",IF(IF(GlobalGH,Climate!$I$9,Climate!$F$9)&gt;Crops!$M$21,"H",IF(IF(GlobalGH,Climate!$H$9,Climate!$E$9)&lt;Crops!$K$21,"C","O")))</f>
        <v>·</v>
      </c>
      <c r="G23" s="142" t="str">
        <f aca="false">IF(IF(GlobalGH,Climate!$G$10,Climate!$D$10)&lt;=0,"·",IF(IF(GlobalGH,Climate!$I$10,Climate!$F$10)&gt;Crops!$M$21,"H",IF(IF(GlobalGH,Climate!$H$10,Climate!$E$10)&lt;Crops!$K$21,"C","O")))</f>
        <v>·</v>
      </c>
      <c r="H23" s="142" t="str">
        <f aca="false">IF(IF(GlobalGH,Climate!$G$11,Climate!$D$11)&lt;=0,"·",IF(IF(GlobalGH,Climate!$I$11,Climate!$F$11)&gt;Crops!$M$21,"H",IF(IF(GlobalGH,Climate!$H$11,Climate!$E$11)&lt;Crops!$K$21,"C","O")))</f>
        <v>·</v>
      </c>
      <c r="I23" s="142" t="str">
        <f aca="false">IF(IF(GlobalGH,Climate!$G$12,Climate!$D$12)&lt;=0,"·",IF(IF(GlobalGH,Climate!$I$12,Climate!$F$12)&gt;Crops!$M$21,"H",IF(IF(GlobalGH,Climate!$H$12,Climate!$E$12)&lt;Crops!$K$21,"C","O")))</f>
        <v>·</v>
      </c>
      <c r="J23" s="142" t="str">
        <f aca="false">IF(IF(GlobalGH,Climate!$G$13,Climate!$D$13)&lt;=0,"·",IF(IF(GlobalGH,Climate!$I$13,Climate!$F$13)&gt;Crops!$M$21,"H",IF(IF(GlobalGH,Climate!$H$13,Climate!$E$13)&lt;Crops!$K$21,"C","O")))</f>
        <v>·</v>
      </c>
      <c r="K23" s="142" t="str">
        <f aca="false">IF(IF(GlobalGH,Climate!$G$14,Climate!$D$14)&lt;=0,"·",IF(IF(GlobalGH,Climate!$I$14,Climate!$F$14)&gt;Crops!$M$21,"H",IF(IF(GlobalGH,Climate!$H$14,Climate!$E$14)&lt;Crops!$K$21,"C","O")))</f>
        <v>·</v>
      </c>
      <c r="L23" s="142" t="str">
        <f aca="false">IF(IF(GlobalGH,Climate!$G$15,Climate!$D$15)&lt;=0,"·",IF(IF(GlobalGH,Climate!$I$15,Climate!$F$15)&gt;Crops!$M$21,"H",IF(IF(GlobalGH,Climate!$H$15,Climate!$E$15)&lt;Crops!$K$21,"C","O")))</f>
        <v>·</v>
      </c>
      <c r="M23" s="142" t="str">
        <f aca="false">IF(IF(GlobalGH,Climate!$G$16,Climate!$D$16)&lt;=0,"·",IF(IF(GlobalGH,Climate!$I$16,Climate!$F$16)&gt;Crops!$M$21,"H",IF(IF(GlobalGH,Climate!$H$16,Climate!$E$16)&lt;Crops!$K$21,"C","O")))</f>
        <v>·</v>
      </c>
      <c r="N23" s="142" t="str">
        <f aca="false">IF(IF(GlobalGH,Climate!$G$17,Climate!$D$17)&lt;=0,"·",IF(IF(GlobalGH,Climate!$I$17,Climate!$F$17)&gt;Crops!$M$21,"H",IF(IF(GlobalGH,Climate!$H$17,Climate!$E$17)&lt;Crops!$K$21,"C","O")))</f>
        <v>·</v>
      </c>
      <c r="O23" s="142" t="str">
        <f aca="false">IF(IF(GlobalGH,Climate!$G$18,Climate!$D$18)&lt;=0,"·",IF(IF(GlobalGH,Climate!$I$18,Climate!$F$18)&gt;Crops!$M$21,"H",IF(IF(GlobalGH,Climate!$H$18,Climate!$E$18)&lt;Crops!$K$21,"C","O")))</f>
        <v>·</v>
      </c>
      <c r="P23" s="142" t="str">
        <f aca="false">IF(IF(GlobalGH,Climate!$G$19,Climate!$D$19)&lt;=0,"·",IF(IF(GlobalGH,Climate!$I$19,Climate!$F$19)&gt;Crops!$M$21,"H",IF(IF(GlobalGH,Climate!$H$19,Climate!$E$19)&lt;Crops!$K$21,"C","O")))</f>
        <v>·</v>
      </c>
      <c r="Q23" s="142" t="str">
        <f aca="false">IF(IF(GlobalGH,Climate!$G$20,Climate!$D$20)&lt;=0,"·",IF(IF(GlobalGH,Climate!$I$20,Climate!$F$20)&gt;Crops!$M$21,"H",IF(IF(GlobalGH,Climate!$H$20,Climate!$E$20)&lt;Crops!$K$21,"C","O")))</f>
        <v>·</v>
      </c>
      <c r="R23" s="142" t="str">
        <f aca="false">IF(IF(GlobalGH,Climate!$G$21,Climate!$D$21)&lt;=0,"·",IF(IF(GlobalGH,Climate!$I$21,Climate!$F$21)&gt;Crops!$M$21,"H",IF(IF(GlobalGH,Climate!$H$21,Climate!$E$21)&lt;Crops!$K$21,"C","O")))</f>
        <v>·</v>
      </c>
      <c r="S23" s="142" t="str">
        <f aca="false">IF(IF(GlobalGH,Climate!$G$22,Climate!$D$22)&lt;=0,"·",IF(IF(GlobalGH,Climate!$I$22,Climate!$F$22)&gt;Crops!$M$21,"H",IF(IF(GlobalGH,Climate!$H$22,Climate!$E$22)&lt;Crops!$K$21,"C","O")))</f>
        <v>·</v>
      </c>
      <c r="T23" s="142" t="str">
        <f aca="false">IF(IF(GlobalGH,Climate!$G$23,Climate!$D$23)&lt;=0,"·",IF(IF(GlobalGH,Climate!$I$23,Climate!$F$23)&gt;Crops!$M$21,"H",IF(IF(GlobalGH,Climate!$H$23,Climate!$E$23)&lt;Crops!$K$21,"C","O")))</f>
        <v>·</v>
      </c>
      <c r="U23" s="142" t="str">
        <f aca="false">IF(IF(GlobalGH,Climate!$G$24,Climate!$D$24)&lt;=0,"·",IF(IF(GlobalGH,Climate!$I$24,Climate!$F$24)&gt;Crops!$M$21,"H",IF(IF(GlobalGH,Climate!$H$24,Climate!$E$24)&lt;Crops!$K$21,"C","O")))</f>
        <v>·</v>
      </c>
      <c r="V23" s="142" t="str">
        <f aca="false">IF(IF(GlobalGH,Climate!$G$25,Climate!$D$25)&lt;=0,"·",IF(IF(GlobalGH,Climate!$I$25,Climate!$F$25)&gt;Crops!$M$21,"H",IF(IF(GlobalGH,Climate!$H$25,Climate!$E$25)&lt;Crops!$K$21,"C","O")))</f>
        <v>·</v>
      </c>
      <c r="W23" s="142" t="str">
        <f aca="false">IF(IF(GlobalGH,Climate!$G$26,Climate!$D$26)&lt;=0,"·",IF(IF(GlobalGH,Climate!$I$26,Climate!$F$26)&gt;Crops!$M$21,"H",IF(IF(GlobalGH,Climate!$H$26,Climate!$E$26)&lt;Crops!$K$21,"C","O")))</f>
        <v>·</v>
      </c>
      <c r="X23" s="142" t="str">
        <f aca="false">IF(IF(GlobalGH,Climate!$G$27,Climate!$D$27)&lt;=0,"·",IF(IF(GlobalGH,Climate!$I$27,Climate!$F$27)&gt;Crops!$M$21,"H",IF(IF(GlobalGH,Climate!$H$27,Climate!$E$27)&lt;Crops!$K$21,"C","O")))</f>
        <v>·</v>
      </c>
      <c r="Y23" s="142" t="str">
        <f aca="false">IF(IF(GlobalGH,Climate!$G$28,Climate!$D$28)&lt;=0,"·",IF(IF(GlobalGH,Climate!$I$28,Climate!$F$28)&gt;Crops!$M$21,"H",IF(IF(GlobalGH,Climate!$H$28,Climate!$E$28)&lt;Crops!$K$21,"C","O")))</f>
        <v>·</v>
      </c>
      <c r="Z23" s="142" t="str">
        <f aca="false">IF(IF(GlobalGH,Climate!$G$29,Climate!$D$29)&lt;=0,"·",IF(IF(GlobalGH,Climate!$I$29,Climate!$F$29)&gt;Crops!$M$21,"H",IF(IF(GlobalGH,Climate!$H$29,Climate!$E$29)&lt;Crops!$K$21,"C","O")))</f>
        <v>·</v>
      </c>
      <c r="AA23" s="142" t="str">
        <f aca="false">IF(IF(GlobalGH,Climate!$G$30,Climate!$D$30)&lt;=0,"·",IF(IF(GlobalGH,Climate!$I$30,Climate!$F$30)&gt;Crops!$M$21,"H",IF(IF(GlobalGH,Climate!$H$30,Climate!$E$30)&lt;Crops!$K$21,"C","O")))</f>
        <v>·</v>
      </c>
      <c r="AB23" s="142" t="str">
        <f aca="false">IF(IF(GlobalGH,Climate!$G$31,Climate!$D$31)&lt;=0,"·",IF(IF(GlobalGH,Climate!$I$31,Climate!$F$31)&gt;Crops!$M$21,"H",IF(IF(GlobalGH,Climate!$H$31,Climate!$E$31)&lt;Crops!$K$21,"C","O")))</f>
        <v>·</v>
      </c>
      <c r="AC23" s="142" t="str">
        <f aca="false">IF(IF(GlobalGH,Climate!$G$32,Climate!$D$32)&lt;=0,"·",IF(IF(GlobalGH,Climate!$I$32,Climate!$F$32)&gt;Crops!$M$21,"H",IF(IF(GlobalGH,Climate!$H$32,Climate!$E$32)&lt;Crops!$K$21,"C","O")))</f>
        <v>·</v>
      </c>
      <c r="AD23" s="142" t="str">
        <f aca="false">IF(IF(GlobalGH,Climate!$G$33,Climate!$D$33)&lt;=0,"·",IF(IF(GlobalGH,Climate!$I$33,Climate!$F$33)&gt;Crops!$M$21,"H",IF(IF(GlobalGH,Climate!$H$33,Climate!$E$33)&lt;Crops!$K$21,"C","O")))</f>
        <v>·</v>
      </c>
      <c r="AE23" s="142" t="str">
        <f aca="false">IF(IF(GlobalGH,Climate!$G$34,Climate!$D$34)&lt;=0,"·",IF(IF(GlobalGH,Climate!$I$34,Climate!$F$34)&gt;Crops!$M$21,"H",IF(IF(GlobalGH,Climate!$H$34,Climate!$E$34)&lt;Crops!$K$21,"C","O")))</f>
        <v>·</v>
      </c>
      <c r="AF23" s="142" t="str">
        <f aca="false">IF(IF(GlobalGH,Climate!$G$35,Climate!$D$35)&lt;=0,"·",IF(IF(GlobalGH,Climate!$I$35,Climate!$F$35)&gt;Crops!$M$21,"H",IF(IF(GlobalGH,Climate!$H$35,Climate!$E$35)&lt;Crops!$K$21,"C","O")))</f>
        <v>·</v>
      </c>
      <c r="AG23" s="142" t="str">
        <f aca="false">IF(IF(GlobalGH,Climate!$G$36,Climate!$D$36)&lt;=0,"·",IF(IF(GlobalGH,Climate!$I$36,Climate!$F$36)&gt;Crops!$M$21,"H",IF(IF(GlobalGH,Climate!$H$36,Climate!$E$36)&lt;Crops!$K$21,"C","O")))</f>
        <v>·</v>
      </c>
      <c r="AH23" s="142" t="str">
        <f aca="false">IF(IF(GlobalGH,Climate!$G$37,Climate!$D$37)&lt;=0,"·",IF(IF(GlobalGH,Climate!$I$37,Climate!$F$37)&gt;Crops!$M$21,"H",IF(IF(GlobalGH,Climate!$H$37,Climate!$E$37)&lt;Crops!$K$21,"C","O")))</f>
        <v>·</v>
      </c>
      <c r="AI23" s="142" t="str">
        <f aca="false">IF(IF(GlobalGH,Climate!$G$38,Climate!$D$38)&lt;=0,"·",IF(IF(GlobalGH,Climate!$I$38,Climate!$F$38)&gt;Crops!$M$21,"H",IF(IF(GlobalGH,Climate!$H$38,Climate!$E$38)&lt;Crops!$K$21,"C","O")))</f>
        <v>C</v>
      </c>
      <c r="AJ23" s="142" t="str">
        <f aca="false">IF(IF(GlobalGH,Climate!$G$39,Climate!$D$39)&lt;=0,"·",IF(IF(GlobalGH,Climate!$I$39,Climate!$F$39)&gt;Crops!$M$21,"H",IF(IF(GlobalGH,Climate!$H$39,Climate!$E$39)&lt;Crops!$K$21,"C","O")))</f>
        <v>C</v>
      </c>
      <c r="AK23" s="142" t="str">
        <f aca="false">IF(IF(GlobalGH,Climate!$G$40,Climate!$D$40)&lt;=0,"·",IF(IF(GlobalGH,Climate!$I$40,Climate!$F$40)&gt;Crops!$M$21,"H",IF(IF(GlobalGH,Climate!$H$40,Climate!$E$40)&lt;Crops!$K$21,"C","O")))</f>
        <v>C</v>
      </c>
      <c r="AL23" s="142" t="str">
        <f aca="false">IF(IF(GlobalGH,Climate!$G$41,Climate!$D$41)&lt;=0,"·",IF(IF(GlobalGH,Climate!$I$41,Climate!$F$41)&gt;Crops!$M$21,"H",IF(IF(GlobalGH,Climate!$H$41,Climate!$E$41)&lt;Crops!$K$21,"C","O")))</f>
        <v>C</v>
      </c>
      <c r="AM23" s="142" t="str">
        <f aca="false">IF(IF(GlobalGH,Climate!$G$42,Climate!$D$42)&lt;=0,"·",IF(IF(GlobalGH,Climate!$I$42,Climate!$F$42)&gt;Crops!$M$21,"H",IF(IF(GlobalGH,Climate!$H$42,Climate!$E$42)&lt;Crops!$K$21,"C","O")))</f>
        <v>C</v>
      </c>
      <c r="AN23" s="142" t="str">
        <f aca="false">IF(IF(GlobalGH,Climate!$G$43,Climate!$D$43)&lt;=0,"·",IF(IF(GlobalGH,Climate!$I$43,Climate!$F$43)&gt;Crops!$M$21,"H",IF(IF(GlobalGH,Climate!$H$43,Climate!$E$43)&lt;Crops!$K$21,"C","O")))</f>
        <v>C</v>
      </c>
      <c r="AO23" s="142" t="str">
        <f aca="false">IF(IF(GlobalGH,Climate!$G$44,Climate!$D$44)&lt;=0,"·",IF(IF(GlobalGH,Climate!$I$44,Climate!$F$44)&gt;Crops!$M$21,"H",IF(IF(GlobalGH,Climate!$H$44,Climate!$E$44)&lt;Crops!$K$21,"C","O")))</f>
        <v>C</v>
      </c>
      <c r="AP23" s="142" t="str">
        <f aca="false">IF(IF(GlobalGH,Climate!$G$45,Climate!$D$45)&lt;=0,"·",IF(IF(GlobalGH,Climate!$I$45,Climate!$F$45)&gt;Crops!$M$21,"H",IF(IF(GlobalGH,Climate!$H$45,Climate!$E$45)&lt;Crops!$K$21,"C","O")))</f>
        <v>C</v>
      </c>
      <c r="AQ23" s="142" t="str">
        <f aca="false">IF(IF(GlobalGH,Climate!$G$46,Climate!$D$46)&lt;=0,"·",IF(IF(GlobalGH,Climate!$I$46,Climate!$F$46)&gt;Crops!$M$21,"H",IF(IF(GlobalGH,Climate!$H$46,Climate!$E$46)&lt;Crops!$K$21,"C","O")))</f>
        <v>C</v>
      </c>
      <c r="AR23" s="142" t="str">
        <f aca="false">IF(IF(GlobalGH,Climate!$G$47,Climate!$D$47)&lt;=0,"·",IF(IF(GlobalGH,Climate!$I$47,Climate!$F$47)&gt;Crops!$M$21,"H",IF(IF(GlobalGH,Climate!$H$47,Climate!$E$47)&lt;Crops!$K$21,"C","O")))</f>
        <v>C</v>
      </c>
      <c r="AS23" s="142" t="str">
        <f aca="false">IF(IF(GlobalGH,Climate!$G$48,Climate!$D$48)&lt;=0,"·",IF(IF(GlobalGH,Climate!$I$48,Climate!$F$48)&gt;Crops!$M$21,"H",IF(IF(GlobalGH,Climate!$H$48,Climate!$E$48)&lt;Crops!$K$21,"C","O")))</f>
        <v>C</v>
      </c>
      <c r="AT23" s="142" t="str">
        <f aca="false">IF(IF(GlobalGH,Climate!$G$49,Climate!$D$49)&lt;=0,"·",IF(IF(GlobalGH,Climate!$I$49,Climate!$F$49)&gt;Crops!$M$21,"H",IF(IF(GlobalGH,Climate!$H$49,Climate!$E$49)&lt;Crops!$K$21,"C","O")))</f>
        <v>C</v>
      </c>
      <c r="AU23" s="142" t="str">
        <f aca="false">IF(IF(GlobalGH,Climate!$G$50,Climate!$D$50)&lt;=0,"·",IF(IF(GlobalGH,Climate!$I$50,Climate!$F$50)&gt;Crops!$M$21,"H",IF(IF(GlobalGH,Climate!$H$50,Climate!$E$50)&lt;Crops!$K$21,"C","O")))</f>
        <v>C</v>
      </c>
      <c r="AV23" s="142" t="str">
        <f aca="false">IF(IF(GlobalGH,Climate!$G$51,Climate!$D$51)&lt;=0,"·",IF(IF(GlobalGH,Climate!$I$51,Climate!$F$51)&gt;Crops!$M$21,"H",IF(IF(GlobalGH,Climate!$H$51,Climate!$E$51)&lt;Crops!$K$21,"C","O")))</f>
        <v>C</v>
      </c>
      <c r="AW23" s="142" t="str">
        <f aca="false">IF(IF(GlobalGH,Climate!$G$52,Climate!$D$52)&lt;=0,"·",IF(IF(GlobalGH,Climate!$I$52,Climate!$F$52)&gt;Crops!$M$21,"H",IF(IF(GlobalGH,Climate!$H$52,Climate!$E$52)&lt;Crops!$K$21,"C","O")))</f>
        <v>C</v>
      </c>
      <c r="AX23" s="142" t="str">
        <f aca="false">IF(IF(GlobalGH,Climate!$G$53,Climate!$D$53)&lt;=0,"·",IF(IF(GlobalGH,Climate!$I$53,Climate!$F$53)&gt;Crops!$M$21,"H",IF(IF(GlobalGH,Climate!$H$53,Climate!$E$53)&lt;Crops!$K$21,"C","O")))</f>
        <v>C</v>
      </c>
      <c r="AY23" s="142" t="str">
        <f aca="false">IF(IF(GlobalGH,Climate!$G$54,Climate!$D$54)&lt;=0,"·",IF(IF(GlobalGH,Climate!$I$54,Climate!$F$54)&gt;Crops!$M$21,"H",IF(IF(GlobalGH,Climate!$H$54,Climate!$E$54)&lt;Crops!$K$21,"C","O")))</f>
        <v>C</v>
      </c>
      <c r="AZ23" s="142" t="str">
        <f aca="false">IF(IF(GlobalGH,Climate!$G$55,Climate!$D$55)&lt;=0,"·",IF(IF(GlobalGH,Climate!$I$55,Climate!$F$55)&gt;Crops!$M$21,"H",IF(IF(GlobalGH,Climate!$H$55,Climate!$E$55)&lt;Crops!$K$21,"C","O")))</f>
        <v>C</v>
      </c>
      <c r="BA23" s="142" t="str">
        <f aca="false">IF(IF(GlobalGH,Climate!$G$56,Climate!$D$56)&lt;=0,"·",IF(IF(GlobalGH,Climate!$I$56,Climate!$F$56)&gt;Crops!$M$21,"H",IF(IF(GlobalGH,Climate!$H$56,Climate!$E$56)&lt;Crops!$K$21,"C","O")))</f>
        <v>C</v>
      </c>
      <c r="BB23" s="142" t="str">
        <f aca="false">IF(IF(GlobalGH,Climate!$G$57,Climate!$D$57)&lt;=0,"·",IF(IF(GlobalGH,Climate!$I$57,Climate!$F$57)&gt;Crops!$M$21,"H",IF(IF(GlobalGH,Climate!$H$57,Climate!$E$57)&lt;Crops!$K$21,"C","O")))</f>
        <v>C</v>
      </c>
      <c r="BC23" s="142" t="str">
        <f aca="false">IF(IF(GlobalGH,Climate!$G$58,Climate!$D$58)&lt;=0,"·",IF(IF(GlobalGH,Climate!$I$58,Climate!$F$58)&gt;Crops!$M$21,"H",IF(IF(GlobalGH,Climate!$H$58,Climate!$E$58)&lt;Crops!$K$21,"C","O")))</f>
        <v>C</v>
      </c>
      <c r="BD23" s="142" t="str">
        <f aca="false">IF(IF(GlobalGH,Climate!$G$59,Climate!$D$59)&lt;=0,"·",IF(IF(GlobalGH,Climate!$I$59,Climate!$F$59)&gt;Crops!$M$21,"H",IF(IF(GlobalGH,Climate!$H$59,Climate!$E$59)&lt;Crops!$K$21,"C","O")))</f>
        <v>C</v>
      </c>
      <c r="BE23" s="142" t="str">
        <f aca="false">IF(IF(GlobalGH,Climate!$G$60,Climate!$D$60)&lt;=0,"·",IF(IF(GlobalGH,Climate!$I$60,Climate!$F$60)&gt;Crops!$M$21,"H",IF(IF(GlobalGH,Climate!$H$60,Climate!$E$60)&lt;Crops!$K$21,"C","O")))</f>
        <v>C</v>
      </c>
      <c r="BF23" s="142" t="str">
        <f aca="false">IF(IF(GlobalGH,Climate!$G$61,Climate!$D$61)&lt;=0,"·",IF(IF(GlobalGH,Climate!$I$61,Climate!$F$61)&gt;Crops!$M$21,"H",IF(IF(GlobalGH,Climate!$H$61,Climate!$E$61)&lt;Crops!$K$21,"C","O")))</f>
        <v>C</v>
      </c>
      <c r="BG23" s="142" t="str">
        <f aca="false">IF(IF(GlobalGH,Climate!$G$62,Climate!$D$62)&lt;=0,"·",IF(IF(GlobalGH,Climate!$I$62,Climate!$F$62)&gt;Crops!$M$21,"H",IF(IF(GlobalGH,Climate!$H$62,Climate!$E$62)&lt;Crops!$K$21,"C","O")))</f>
        <v>C</v>
      </c>
      <c r="BH23" s="142" t="str">
        <f aca="false">IF(IF(GlobalGH,Climate!$G$63,Climate!$D$63)&lt;=0,"·",IF(IF(GlobalGH,Climate!$I$63,Climate!$F$63)&gt;Crops!$M$21,"H",IF(IF(GlobalGH,Climate!$H$63,Climate!$E$63)&lt;Crops!$K$21,"C","O")))</f>
        <v>C</v>
      </c>
      <c r="BI23" s="142" t="str">
        <f aca="false">IF(IF(GlobalGH,Climate!$G$64,Climate!$D$64)&lt;=0,"·",IF(IF(GlobalGH,Climate!$I$64,Climate!$F$64)&gt;Crops!$M$21,"H",IF(IF(GlobalGH,Climate!$H$64,Climate!$E$64)&lt;Crops!$K$21,"C","O")))</f>
        <v>C</v>
      </c>
      <c r="BJ23" s="142" t="str">
        <f aca="false">IF(IF(GlobalGH,Climate!$G$65,Climate!$D$65)&lt;=0,"·",IF(IF(GlobalGH,Climate!$I$65,Climate!$F$65)&gt;Crops!$M$21,"H",IF(IF(GlobalGH,Climate!$H$65,Climate!$E$65)&lt;Crops!$K$21,"C","O")))</f>
        <v>C</v>
      </c>
      <c r="BK23" s="142" t="str">
        <f aca="false">IF(IF(GlobalGH,Climate!$G$66,Climate!$D$66)&lt;=0,"·",IF(IF(GlobalGH,Climate!$I$66,Climate!$F$66)&gt;Crops!$M$21,"H",IF(IF(GlobalGH,Climate!$H$66,Climate!$E$66)&lt;Crops!$K$21,"C","O")))</f>
        <v>C</v>
      </c>
      <c r="BL23" s="142" t="str">
        <f aca="false">IF(IF(GlobalGH,Climate!$G$67,Climate!$D$67)&lt;=0,"·",IF(IF(GlobalGH,Climate!$I$67,Climate!$F$67)&gt;Crops!$M$21,"H",IF(IF(GlobalGH,Climate!$H$67,Climate!$E$67)&lt;Crops!$K$21,"C","O")))</f>
        <v>C</v>
      </c>
      <c r="BM23" s="142" t="str">
        <f aca="false">IF(IF(GlobalGH,Climate!$G$68,Climate!$D$68)&lt;=0,"·",IF(IF(GlobalGH,Climate!$I$68,Climate!$F$68)&gt;Crops!$M$21,"H",IF(IF(GlobalGH,Climate!$H$68,Climate!$E$68)&lt;Crops!$K$21,"C","O")))</f>
        <v>C</v>
      </c>
      <c r="BN23" s="142" t="str">
        <f aca="false">IF(IF(GlobalGH,Climate!$G$69,Climate!$D$69)&lt;=0,"·",IF(IF(GlobalGH,Climate!$I$69,Climate!$F$69)&gt;Crops!$M$21,"H",IF(IF(GlobalGH,Climate!$H$69,Climate!$E$69)&lt;Crops!$K$21,"C","O")))</f>
        <v>C</v>
      </c>
      <c r="BO23" s="142" t="str">
        <f aca="false">IF(IF(GlobalGH,Climate!$G$70,Climate!$D$70)&lt;=0,"·",IF(IF(GlobalGH,Climate!$I$70,Climate!$F$70)&gt;Crops!$M$21,"H",IF(IF(GlobalGH,Climate!$H$70,Climate!$E$70)&lt;Crops!$K$21,"C","O")))</f>
        <v>C</v>
      </c>
      <c r="BP23" s="142" t="str">
        <f aca="false">IF(IF(GlobalGH,Climate!$G$71,Climate!$D$71)&lt;=0,"·",IF(IF(GlobalGH,Climate!$I$71,Climate!$F$71)&gt;Crops!$M$21,"H",IF(IF(GlobalGH,Climate!$H$71,Climate!$E$71)&lt;Crops!$K$21,"C","O")))</f>
        <v>C</v>
      </c>
      <c r="BQ23" s="142" t="str">
        <f aca="false">IF(IF(GlobalGH,Climate!$G$72,Climate!$D$72)&lt;=0,"·",IF(IF(GlobalGH,Climate!$I$72,Climate!$F$72)&gt;Crops!$M$21,"H",IF(IF(GlobalGH,Climate!$H$72,Climate!$E$72)&lt;Crops!$K$21,"C","O")))</f>
        <v>C</v>
      </c>
      <c r="BR23" s="142" t="str">
        <f aca="false">IF(IF(GlobalGH,Climate!$G$73,Climate!$D$73)&lt;=0,"·",IF(IF(GlobalGH,Climate!$I$73,Climate!$F$73)&gt;Crops!$M$21,"H",IF(IF(GlobalGH,Climate!$H$73,Climate!$E$73)&lt;Crops!$K$21,"C","O")))</f>
        <v>C</v>
      </c>
      <c r="BS23" s="142" t="str">
        <f aca="false">IF(IF(GlobalGH,Climate!$G$74,Climate!$D$74)&lt;=0,"·",IF(IF(GlobalGH,Climate!$I$74,Climate!$F$74)&gt;Crops!$M$21,"H",IF(IF(GlobalGH,Climate!$H$74,Climate!$E$74)&lt;Crops!$K$21,"C","O")))</f>
        <v>C</v>
      </c>
      <c r="BT23" s="142" t="str">
        <f aca="false">IF(IF(GlobalGH,Climate!$G$75,Climate!$D$75)&lt;=0,"·",IF(IF(GlobalGH,Climate!$I$75,Climate!$F$75)&gt;Crops!$M$21,"H",IF(IF(GlobalGH,Climate!$H$75,Climate!$E$75)&lt;Crops!$K$21,"C","O")))</f>
        <v>C</v>
      </c>
      <c r="BU23" s="142" t="str">
        <f aca="false">IF(IF(GlobalGH,Climate!$G$76,Climate!$D$76)&lt;=0,"·",IF(IF(GlobalGH,Climate!$I$76,Climate!$F$76)&gt;Crops!$M$21,"H",IF(IF(GlobalGH,Climate!$H$76,Climate!$E$76)&lt;Crops!$K$21,"C","O")))</f>
        <v>C</v>
      </c>
      <c r="BV23" s="142" t="str">
        <f aca="false">IF(IF(GlobalGH,Climate!$G$77,Climate!$D$77)&lt;=0,"·",IF(IF(GlobalGH,Climate!$I$77,Climate!$F$77)&gt;Crops!$M$21,"H",IF(IF(GlobalGH,Climate!$H$77,Climate!$E$77)&lt;Crops!$K$21,"C","O")))</f>
        <v>C</v>
      </c>
      <c r="BW23" s="142" t="str">
        <f aca="false">IF(IF(GlobalGH,Climate!$G$78,Climate!$D$78)&lt;=0,"·",IF(IF(GlobalGH,Climate!$I$78,Climate!$F$78)&gt;Crops!$M$21,"H",IF(IF(GlobalGH,Climate!$H$78,Climate!$E$78)&lt;Crops!$K$21,"C","O")))</f>
        <v>C</v>
      </c>
      <c r="BX23" s="142" t="str">
        <f aca="false">IF(IF(GlobalGH,Climate!$G$79,Climate!$D$79)&lt;=0,"·",IF(IF(GlobalGH,Climate!$I$79,Climate!$F$79)&gt;Crops!$M$21,"H",IF(IF(GlobalGH,Climate!$H$79,Climate!$E$79)&lt;Crops!$K$21,"C","O")))</f>
        <v>C</v>
      </c>
      <c r="BY23" s="142" t="str">
        <f aca="false">IF(IF(GlobalGH,Climate!$G$80,Climate!$D$80)&lt;=0,"·",IF(IF(GlobalGH,Climate!$I$80,Climate!$F$80)&gt;Crops!$M$21,"H",IF(IF(GlobalGH,Climate!$H$80,Climate!$E$80)&lt;Crops!$K$21,"C","O")))</f>
        <v>C</v>
      </c>
      <c r="BZ23" s="142" t="str">
        <f aca="false">IF(IF(GlobalGH,Climate!$G$81,Climate!$D$81)&lt;=0,"·",IF(IF(GlobalGH,Climate!$I$81,Climate!$F$81)&gt;Crops!$M$21,"H",IF(IF(GlobalGH,Climate!$H$81,Climate!$E$81)&lt;Crops!$K$21,"C","O")))</f>
        <v>C</v>
      </c>
      <c r="CA23" s="142" t="str">
        <f aca="false">IF(IF(GlobalGH,Climate!$G$82,Climate!$D$82)&lt;=0,"·",IF(IF(GlobalGH,Climate!$I$82,Climate!$F$82)&gt;Crops!$M$21,"H",IF(IF(GlobalGH,Climate!$H$82,Climate!$E$82)&lt;Crops!$K$21,"C","O")))</f>
        <v>C</v>
      </c>
      <c r="CB23" s="142" t="str">
        <f aca="false">IF(IF(GlobalGH,Climate!$G$83,Climate!$D$83)&lt;=0,"·",IF(IF(GlobalGH,Climate!$I$83,Climate!$F$83)&gt;Crops!$M$21,"H",IF(IF(GlobalGH,Climate!$H$83,Climate!$E$83)&lt;Crops!$K$21,"C","O")))</f>
        <v>C</v>
      </c>
      <c r="CC23" s="142" t="str">
        <f aca="false">IF(IF(GlobalGH,Climate!$G$84,Climate!$D$84)&lt;=0,"·",IF(IF(GlobalGH,Climate!$I$84,Climate!$F$84)&gt;Crops!$M$21,"H",IF(IF(GlobalGH,Climate!$H$84,Climate!$E$84)&lt;Crops!$K$21,"C","O")))</f>
        <v>C</v>
      </c>
      <c r="CD23" s="142" t="str">
        <f aca="false">IF(IF(GlobalGH,Climate!$G$85,Climate!$D$85)&lt;=0,"·",IF(IF(GlobalGH,Climate!$I$85,Climate!$F$85)&gt;Crops!$M$21,"H",IF(IF(GlobalGH,Climate!$H$85,Climate!$E$85)&lt;Crops!$K$21,"C","O")))</f>
        <v>C</v>
      </c>
      <c r="CE23" s="142" t="str">
        <f aca="false">IF(IF(GlobalGH,Climate!$G$86,Climate!$D$86)&lt;=0,"·",IF(IF(GlobalGH,Climate!$I$86,Climate!$F$86)&gt;Crops!$M$21,"H",IF(IF(GlobalGH,Climate!$H$86,Climate!$E$86)&lt;Crops!$K$21,"C","O")))</f>
        <v>C</v>
      </c>
      <c r="CF23" s="142" t="str">
        <f aca="false">IF(IF(GlobalGH,Climate!$G$87,Climate!$D$87)&lt;=0,"·",IF(IF(GlobalGH,Climate!$I$87,Climate!$F$87)&gt;Crops!$M$21,"H",IF(IF(GlobalGH,Climate!$H$87,Climate!$E$87)&lt;Crops!$K$21,"C","O")))</f>
        <v>C</v>
      </c>
      <c r="CG23" s="142" t="str">
        <f aca="false">IF(IF(GlobalGH,Climate!$G$88,Climate!$D$88)&lt;=0,"·",IF(IF(GlobalGH,Climate!$I$88,Climate!$F$88)&gt;Crops!$M$21,"H",IF(IF(GlobalGH,Climate!$H$88,Climate!$E$88)&lt;Crops!$K$21,"C","O")))</f>
        <v>·</v>
      </c>
      <c r="CH23" s="142" t="str">
        <f aca="false">IF(IF(GlobalGH,Climate!$G$89,Climate!$D$89)&lt;=0,"·",IF(IF(GlobalGH,Climate!$I$89,Climate!$F$89)&gt;Crops!$M$21,"H",IF(IF(GlobalGH,Climate!$H$89,Climate!$E$89)&lt;Crops!$K$21,"C","O")))</f>
        <v>·</v>
      </c>
      <c r="CI23" s="142" t="str">
        <f aca="false">IF(IF(GlobalGH,Climate!$G$90,Climate!$D$90)&lt;=0,"·",IF(IF(GlobalGH,Climate!$I$90,Climate!$F$90)&gt;Crops!$M$21,"H",IF(IF(GlobalGH,Climate!$H$90,Climate!$E$90)&lt;Crops!$K$21,"C","O")))</f>
        <v>·</v>
      </c>
      <c r="CJ23" s="142" t="str">
        <f aca="false">IF(IF(GlobalGH,Climate!$G$91,Climate!$D$91)&lt;=0,"·",IF(IF(GlobalGH,Climate!$I$91,Climate!$F$91)&gt;Crops!$M$21,"H",IF(IF(GlobalGH,Climate!$H$91,Climate!$E$91)&lt;Crops!$K$21,"C","O")))</f>
        <v>·</v>
      </c>
      <c r="CK23" s="142" t="str">
        <f aca="false">IF(IF(GlobalGH,Climate!$G$92,Climate!$D$92)&lt;=0,"·",IF(IF(GlobalGH,Climate!$I$92,Climate!$F$92)&gt;Crops!$M$21,"H",IF(IF(GlobalGH,Climate!$H$92,Climate!$E$92)&lt;Crops!$K$21,"C","O")))</f>
        <v>·</v>
      </c>
      <c r="CL23" s="142" t="str">
        <f aca="false">IF(IF(GlobalGH,Climate!$G$93,Climate!$D$93)&lt;=0,"·",IF(IF(GlobalGH,Climate!$I$93,Climate!$F$93)&gt;Crops!$M$21,"H",IF(IF(GlobalGH,Climate!$H$93,Climate!$E$93)&lt;Crops!$K$21,"C","O")))</f>
        <v>·</v>
      </c>
      <c r="CM23" s="142" t="str">
        <f aca="false">IF(IF(GlobalGH,Climate!$G$94,Climate!$D$94)&lt;=0,"·",IF(IF(GlobalGH,Climate!$I$94,Climate!$F$94)&gt;Crops!$M$21,"H",IF(IF(GlobalGH,Climate!$H$94,Climate!$E$94)&lt;Crops!$K$21,"C","O")))</f>
        <v>·</v>
      </c>
      <c r="CN23" s="142" t="str">
        <f aca="false">IF(IF(GlobalGH,Climate!$G$95,Climate!$D$95)&lt;=0,"·",IF(IF(GlobalGH,Climate!$I$95,Climate!$F$95)&gt;Crops!$M$21,"H",IF(IF(GlobalGH,Climate!$H$95,Climate!$E$95)&lt;Crops!$K$21,"C","O")))</f>
        <v>·</v>
      </c>
      <c r="CO23" s="142" t="str">
        <f aca="false">IF(IF(GlobalGH,Climate!$G$96,Climate!$D$96)&lt;=0,"·",IF(IF(GlobalGH,Climate!$I$96,Climate!$F$96)&gt;Crops!$M$21,"H",IF(IF(GlobalGH,Climate!$H$96,Climate!$E$96)&lt;Crops!$K$21,"C","O")))</f>
        <v>·</v>
      </c>
      <c r="CP23" s="142" t="str">
        <f aca="false">IF(IF(GlobalGH,Climate!$G$97,Climate!$D$97)&lt;=0,"·",IF(IF(GlobalGH,Climate!$I$97,Climate!$F$97)&gt;Crops!$M$21,"H",IF(IF(GlobalGH,Climate!$H$97,Climate!$E$97)&lt;Crops!$K$21,"C","O")))</f>
        <v>·</v>
      </c>
      <c r="CQ23" s="142" t="str">
        <f aca="false">IF(IF(GlobalGH,Climate!$G$98,Climate!$D$98)&lt;=0,"·",IF(IF(GlobalGH,Climate!$I$98,Climate!$F$98)&gt;Crops!$M$21,"H",IF(IF(GlobalGH,Climate!$H$98,Climate!$E$98)&lt;Crops!$K$21,"C","O")))</f>
        <v>·</v>
      </c>
      <c r="CR23" s="142" t="str">
        <f aca="false">IF(IF(GlobalGH,Climate!$G$99,Climate!$D$99)&lt;=0,"·",IF(IF(GlobalGH,Climate!$I$99,Climate!$F$99)&gt;Crops!$M$21,"H",IF(IF(GlobalGH,Climate!$H$99,Climate!$E$99)&lt;Crops!$K$21,"C","O")))</f>
        <v>·</v>
      </c>
      <c r="CS23" s="142" t="str">
        <f aca="false">IF(IF(GlobalGH,Climate!$G$100,Climate!$D$100)&lt;=0,"·",IF(IF(GlobalGH,Climate!$I$100,Climate!$F$100)&gt;Crops!$M$21,"H",IF(IF(GlobalGH,Climate!$H$100,Climate!$E$100)&lt;Crops!$K$21,"C","O")))</f>
        <v>·</v>
      </c>
      <c r="CT23" s="142" t="str">
        <f aca="false">IF(IF(GlobalGH,Climate!$G$101,Climate!$D$101)&lt;=0,"·",IF(IF(GlobalGH,Climate!$I$101,Climate!$F$101)&gt;Crops!$M$21,"H",IF(IF(GlobalGH,Climate!$H$101,Climate!$E$101)&lt;Crops!$K$21,"C","O")))</f>
        <v>·</v>
      </c>
      <c r="CU23" s="142" t="str">
        <f aca="false">IF(IF(GlobalGH,Climate!$G$102,Climate!$D$102)&lt;=0,"·",IF(IF(GlobalGH,Climate!$I$102,Climate!$F$102)&gt;Crops!$M$21,"H",IF(IF(GlobalGH,Climate!$H$102,Climate!$E$102)&lt;Crops!$K$21,"C","O")))</f>
        <v>·</v>
      </c>
      <c r="CV23" s="142" t="str">
        <f aca="false">IF(IF(GlobalGH,Climate!$G$103,Climate!$D$103)&lt;=0,"·",IF(IF(GlobalGH,Climate!$I$103,Climate!$F$103)&gt;Crops!$M$21,"H",IF(IF(GlobalGH,Climate!$H$103,Climate!$E$103)&lt;Crops!$K$21,"C","O")))</f>
        <v>·</v>
      </c>
      <c r="CW23" s="142" t="str">
        <f aca="false">IF(IF(GlobalGH,Climate!$G$104,Climate!$D$104)&lt;=0,"·",IF(IF(GlobalGH,Climate!$I$104,Climate!$F$104)&gt;Crops!$M$21,"H",IF(IF(GlobalGH,Climate!$H$104,Climate!$E$104)&lt;Crops!$K$21,"C","O")))</f>
        <v>·</v>
      </c>
      <c r="CX23" s="142" t="str">
        <f aca="false">IF(IF(GlobalGH,Climate!$G$105,Climate!$D$105)&lt;=0,"·",IF(IF(GlobalGH,Climate!$I$105,Climate!$F$105)&gt;Crops!$M$21,"H",IF(IF(GlobalGH,Climate!$H$105,Climate!$E$105)&lt;Crops!$K$21,"C","O")))</f>
        <v>·</v>
      </c>
      <c r="CY23" s="142" t="str">
        <f aca="false">IF(IF(GlobalGH,Climate!$G$106,Climate!$D$106)&lt;=0,"·",IF(IF(GlobalGH,Climate!$I$106,Climate!$F$106)&gt;Crops!$M$21,"H",IF(IF(GlobalGH,Climate!$H$106,Climate!$E$106)&lt;Crops!$K$21,"C","O")))</f>
        <v>·</v>
      </c>
      <c r="CZ23" s="142" t="str">
        <f aca="false">IF(IF(GlobalGH,Climate!$G$107,Climate!$D$107)&lt;=0,"·",IF(IF(GlobalGH,Climate!$I$107,Climate!$F$107)&gt;Crops!$M$21,"H",IF(IF(GlobalGH,Climate!$H$107,Climate!$E$107)&lt;Crops!$K$21,"C","O")))</f>
        <v>·</v>
      </c>
      <c r="DA23" s="142" t="str">
        <f aca="false">IF(IF(GlobalGH,Climate!$G$108,Climate!$D$108)&lt;=0,"·",IF(IF(GlobalGH,Climate!$I$108,Climate!$F$108)&gt;Crops!$M$21,"H",IF(IF(GlobalGH,Climate!$H$108,Climate!$E$108)&lt;Crops!$K$21,"C","O")))</f>
        <v>·</v>
      </c>
      <c r="DB23" s="142" t="str">
        <f aca="false">IF(IF(GlobalGH,Climate!$G$109,Climate!$D$109)&lt;=0,"·",IF(IF(GlobalGH,Climate!$I$109,Climate!$F$109)&gt;Crops!$M$21,"H",IF(IF(GlobalGH,Climate!$H$109,Climate!$E$109)&lt;Crops!$K$21,"C","O")))</f>
        <v>·</v>
      </c>
      <c r="DC23" s="142" t="str">
        <f aca="false">IF(IF(GlobalGH,Climate!$G$110,Climate!$D$110)&lt;=0,"·",IF(IF(GlobalGH,Climate!$I$110,Climate!$F$110)&gt;Crops!$M$21,"H",IF(IF(GlobalGH,Climate!$H$110,Climate!$E$110)&lt;Crops!$K$21,"C","O")))</f>
        <v>·</v>
      </c>
      <c r="DD23" s="142" t="str">
        <f aca="false">IF(IF(GlobalGH,Climate!$G$111,Climate!$D$111)&lt;=0,"·",IF(IF(GlobalGH,Climate!$I$111,Climate!$F$111)&gt;Crops!$M$21,"H",IF(IF(GlobalGH,Climate!$H$111,Climate!$E$111)&lt;Crops!$K$21,"C","O")))</f>
        <v>·</v>
      </c>
      <c r="DE23" s="142" t="str">
        <f aca="false">IF(IF(GlobalGH,Climate!$G$112,Climate!$D$112)&lt;=0,"·",IF(IF(GlobalGH,Climate!$I$112,Climate!$F$112)&gt;Crops!$M$21,"H",IF(IF(GlobalGH,Climate!$H$112,Climate!$E$112)&lt;Crops!$K$21,"C","O")))</f>
        <v>·</v>
      </c>
      <c r="DF23" s="143" t="n">
        <f aca="false">COUNTIF(B23:DE23,"O")</f>
        <v>0</v>
      </c>
      <c r="DG23" s="139" t="s">
        <v>421</v>
      </c>
    </row>
    <row r="24" customFormat="false" ht="15" hidden="false" customHeight="true" outlineLevel="0" collapsed="false">
      <c r="A24" s="144" t="str">
        <f aca="false">Crops!$B$22</f>
        <v>Pineapple</v>
      </c>
      <c r="B24" s="142" t="str">
        <f aca="false">IF(IF(GlobalGH,Climate!$G$5,Climate!$D$5)&lt;=0,"·",IF(IF(GlobalGH,Climate!$I$5,Climate!$F$5)&gt;Crops!$M$22,"H",IF(IF(GlobalGH,Climate!$H$5,Climate!$E$5)&lt;Crops!$K$22,"C","O")))</f>
        <v>·</v>
      </c>
      <c r="C24" s="142" t="str">
        <f aca="false">IF(IF(GlobalGH,Climate!$G$6,Climate!$D$6)&lt;=0,"·",IF(IF(GlobalGH,Climate!$I$6,Climate!$F$6)&gt;Crops!$M$22,"H",IF(IF(GlobalGH,Climate!$H$6,Climate!$E$6)&lt;Crops!$K$22,"C","O")))</f>
        <v>·</v>
      </c>
      <c r="D24" s="142" t="str">
        <f aca="false">IF(IF(GlobalGH,Climate!$G$7,Climate!$D$7)&lt;=0,"·",IF(IF(GlobalGH,Climate!$I$7,Climate!$F$7)&gt;Crops!$M$22,"H",IF(IF(GlobalGH,Climate!$H$7,Climate!$E$7)&lt;Crops!$K$22,"C","O")))</f>
        <v>·</v>
      </c>
      <c r="E24" s="142" t="str">
        <f aca="false">IF(IF(GlobalGH,Climate!$G$8,Climate!$D$8)&lt;=0,"·",IF(IF(GlobalGH,Climate!$I$8,Climate!$F$8)&gt;Crops!$M$22,"H",IF(IF(GlobalGH,Climate!$H$8,Climate!$E$8)&lt;Crops!$K$22,"C","O")))</f>
        <v>·</v>
      </c>
      <c r="F24" s="142" t="str">
        <f aca="false">IF(IF(GlobalGH,Climate!$G$9,Climate!$D$9)&lt;=0,"·",IF(IF(GlobalGH,Climate!$I$9,Climate!$F$9)&gt;Crops!$M$22,"H",IF(IF(GlobalGH,Climate!$H$9,Climate!$E$9)&lt;Crops!$K$22,"C","O")))</f>
        <v>·</v>
      </c>
      <c r="G24" s="142" t="str">
        <f aca="false">IF(IF(GlobalGH,Climate!$G$10,Climate!$D$10)&lt;=0,"·",IF(IF(GlobalGH,Climate!$I$10,Climate!$F$10)&gt;Crops!$M$22,"H",IF(IF(GlobalGH,Climate!$H$10,Climate!$E$10)&lt;Crops!$K$22,"C","O")))</f>
        <v>·</v>
      </c>
      <c r="H24" s="142" t="str">
        <f aca="false">IF(IF(GlobalGH,Climate!$G$11,Climate!$D$11)&lt;=0,"·",IF(IF(GlobalGH,Climate!$I$11,Climate!$F$11)&gt;Crops!$M$22,"H",IF(IF(GlobalGH,Climate!$H$11,Climate!$E$11)&lt;Crops!$K$22,"C","O")))</f>
        <v>·</v>
      </c>
      <c r="I24" s="142" t="str">
        <f aca="false">IF(IF(GlobalGH,Climate!$G$12,Climate!$D$12)&lt;=0,"·",IF(IF(GlobalGH,Climate!$I$12,Climate!$F$12)&gt;Crops!$M$22,"H",IF(IF(GlobalGH,Climate!$H$12,Climate!$E$12)&lt;Crops!$K$22,"C","O")))</f>
        <v>·</v>
      </c>
      <c r="J24" s="142" t="str">
        <f aca="false">IF(IF(GlobalGH,Climate!$G$13,Climate!$D$13)&lt;=0,"·",IF(IF(GlobalGH,Climate!$I$13,Climate!$F$13)&gt;Crops!$M$22,"H",IF(IF(GlobalGH,Climate!$H$13,Climate!$E$13)&lt;Crops!$K$22,"C","O")))</f>
        <v>·</v>
      </c>
      <c r="K24" s="142" t="str">
        <f aca="false">IF(IF(GlobalGH,Climate!$G$14,Climate!$D$14)&lt;=0,"·",IF(IF(GlobalGH,Climate!$I$14,Climate!$F$14)&gt;Crops!$M$22,"H",IF(IF(GlobalGH,Climate!$H$14,Climate!$E$14)&lt;Crops!$K$22,"C","O")))</f>
        <v>·</v>
      </c>
      <c r="L24" s="142" t="str">
        <f aca="false">IF(IF(GlobalGH,Climate!$G$15,Climate!$D$15)&lt;=0,"·",IF(IF(GlobalGH,Climate!$I$15,Climate!$F$15)&gt;Crops!$M$22,"H",IF(IF(GlobalGH,Climate!$H$15,Climate!$E$15)&lt;Crops!$K$22,"C","O")))</f>
        <v>·</v>
      </c>
      <c r="M24" s="142" t="str">
        <f aca="false">IF(IF(GlobalGH,Climate!$G$16,Climate!$D$16)&lt;=0,"·",IF(IF(GlobalGH,Climate!$I$16,Climate!$F$16)&gt;Crops!$M$22,"H",IF(IF(GlobalGH,Climate!$H$16,Climate!$E$16)&lt;Crops!$K$22,"C","O")))</f>
        <v>·</v>
      </c>
      <c r="N24" s="142" t="str">
        <f aca="false">IF(IF(GlobalGH,Climate!$G$17,Climate!$D$17)&lt;=0,"·",IF(IF(GlobalGH,Climate!$I$17,Climate!$F$17)&gt;Crops!$M$22,"H",IF(IF(GlobalGH,Climate!$H$17,Climate!$E$17)&lt;Crops!$K$22,"C","O")))</f>
        <v>·</v>
      </c>
      <c r="O24" s="142" t="str">
        <f aca="false">IF(IF(GlobalGH,Climate!$G$18,Climate!$D$18)&lt;=0,"·",IF(IF(GlobalGH,Climate!$I$18,Climate!$F$18)&gt;Crops!$M$22,"H",IF(IF(GlobalGH,Climate!$H$18,Climate!$E$18)&lt;Crops!$K$22,"C","O")))</f>
        <v>·</v>
      </c>
      <c r="P24" s="142" t="str">
        <f aca="false">IF(IF(GlobalGH,Climate!$G$19,Climate!$D$19)&lt;=0,"·",IF(IF(GlobalGH,Climate!$I$19,Climate!$F$19)&gt;Crops!$M$22,"H",IF(IF(GlobalGH,Climate!$H$19,Climate!$E$19)&lt;Crops!$K$22,"C","O")))</f>
        <v>·</v>
      </c>
      <c r="Q24" s="142" t="str">
        <f aca="false">IF(IF(GlobalGH,Climate!$G$20,Climate!$D$20)&lt;=0,"·",IF(IF(GlobalGH,Climate!$I$20,Climate!$F$20)&gt;Crops!$M$22,"H",IF(IF(GlobalGH,Climate!$H$20,Climate!$E$20)&lt;Crops!$K$22,"C","O")))</f>
        <v>·</v>
      </c>
      <c r="R24" s="142" t="str">
        <f aca="false">IF(IF(GlobalGH,Climate!$G$21,Climate!$D$21)&lt;=0,"·",IF(IF(GlobalGH,Climate!$I$21,Climate!$F$21)&gt;Crops!$M$22,"H",IF(IF(GlobalGH,Climate!$H$21,Climate!$E$21)&lt;Crops!$K$22,"C","O")))</f>
        <v>·</v>
      </c>
      <c r="S24" s="142" t="str">
        <f aca="false">IF(IF(GlobalGH,Climate!$G$22,Climate!$D$22)&lt;=0,"·",IF(IF(GlobalGH,Climate!$I$22,Climate!$F$22)&gt;Crops!$M$22,"H",IF(IF(GlobalGH,Climate!$H$22,Climate!$E$22)&lt;Crops!$K$22,"C","O")))</f>
        <v>·</v>
      </c>
      <c r="T24" s="142" t="str">
        <f aca="false">IF(IF(GlobalGH,Climate!$G$23,Climate!$D$23)&lt;=0,"·",IF(IF(GlobalGH,Climate!$I$23,Climate!$F$23)&gt;Crops!$M$22,"H",IF(IF(GlobalGH,Climate!$H$23,Climate!$E$23)&lt;Crops!$K$22,"C","O")))</f>
        <v>·</v>
      </c>
      <c r="U24" s="142" t="str">
        <f aca="false">IF(IF(GlobalGH,Climate!$G$24,Climate!$D$24)&lt;=0,"·",IF(IF(GlobalGH,Climate!$I$24,Climate!$F$24)&gt;Crops!$M$22,"H",IF(IF(GlobalGH,Climate!$H$24,Climate!$E$24)&lt;Crops!$K$22,"C","O")))</f>
        <v>·</v>
      </c>
      <c r="V24" s="142" t="str">
        <f aca="false">IF(IF(GlobalGH,Climate!$G$25,Climate!$D$25)&lt;=0,"·",IF(IF(GlobalGH,Climate!$I$25,Climate!$F$25)&gt;Crops!$M$22,"H",IF(IF(GlobalGH,Climate!$H$25,Climate!$E$25)&lt;Crops!$K$22,"C","O")))</f>
        <v>·</v>
      </c>
      <c r="W24" s="142" t="str">
        <f aca="false">IF(IF(GlobalGH,Climate!$G$26,Climate!$D$26)&lt;=0,"·",IF(IF(GlobalGH,Climate!$I$26,Climate!$F$26)&gt;Crops!$M$22,"H",IF(IF(GlobalGH,Climate!$H$26,Climate!$E$26)&lt;Crops!$K$22,"C","O")))</f>
        <v>·</v>
      </c>
      <c r="X24" s="142" t="str">
        <f aca="false">IF(IF(GlobalGH,Climate!$G$27,Climate!$D$27)&lt;=0,"·",IF(IF(GlobalGH,Climate!$I$27,Climate!$F$27)&gt;Crops!$M$22,"H",IF(IF(GlobalGH,Climate!$H$27,Climate!$E$27)&lt;Crops!$K$22,"C","O")))</f>
        <v>·</v>
      </c>
      <c r="Y24" s="142" t="str">
        <f aca="false">IF(IF(GlobalGH,Climate!$G$28,Climate!$D$28)&lt;=0,"·",IF(IF(GlobalGH,Climate!$I$28,Climate!$F$28)&gt;Crops!$M$22,"H",IF(IF(GlobalGH,Climate!$H$28,Climate!$E$28)&lt;Crops!$K$22,"C","O")))</f>
        <v>·</v>
      </c>
      <c r="Z24" s="142" t="str">
        <f aca="false">IF(IF(GlobalGH,Climate!$G$29,Climate!$D$29)&lt;=0,"·",IF(IF(GlobalGH,Climate!$I$29,Climate!$F$29)&gt;Crops!$M$22,"H",IF(IF(GlobalGH,Climate!$H$29,Climate!$E$29)&lt;Crops!$K$22,"C","O")))</f>
        <v>·</v>
      </c>
      <c r="AA24" s="142" t="str">
        <f aca="false">IF(IF(GlobalGH,Climate!$G$30,Climate!$D$30)&lt;=0,"·",IF(IF(GlobalGH,Climate!$I$30,Climate!$F$30)&gt;Crops!$M$22,"H",IF(IF(GlobalGH,Climate!$H$30,Climate!$E$30)&lt;Crops!$K$22,"C","O")))</f>
        <v>·</v>
      </c>
      <c r="AB24" s="142" t="str">
        <f aca="false">IF(IF(GlobalGH,Climate!$G$31,Climate!$D$31)&lt;=0,"·",IF(IF(GlobalGH,Climate!$I$31,Climate!$F$31)&gt;Crops!$M$22,"H",IF(IF(GlobalGH,Climate!$H$31,Climate!$E$31)&lt;Crops!$K$22,"C","O")))</f>
        <v>·</v>
      </c>
      <c r="AC24" s="142" t="str">
        <f aca="false">IF(IF(GlobalGH,Climate!$G$32,Climate!$D$32)&lt;=0,"·",IF(IF(GlobalGH,Climate!$I$32,Climate!$F$32)&gt;Crops!$M$22,"H",IF(IF(GlobalGH,Climate!$H$32,Climate!$E$32)&lt;Crops!$K$22,"C","O")))</f>
        <v>·</v>
      </c>
      <c r="AD24" s="142" t="str">
        <f aca="false">IF(IF(GlobalGH,Climate!$G$33,Climate!$D$33)&lt;=0,"·",IF(IF(GlobalGH,Climate!$I$33,Climate!$F$33)&gt;Crops!$M$22,"H",IF(IF(GlobalGH,Climate!$H$33,Climate!$E$33)&lt;Crops!$K$22,"C","O")))</f>
        <v>·</v>
      </c>
      <c r="AE24" s="142" t="str">
        <f aca="false">IF(IF(GlobalGH,Climate!$G$34,Climate!$D$34)&lt;=0,"·",IF(IF(GlobalGH,Climate!$I$34,Climate!$F$34)&gt;Crops!$M$22,"H",IF(IF(GlobalGH,Climate!$H$34,Climate!$E$34)&lt;Crops!$K$22,"C","O")))</f>
        <v>·</v>
      </c>
      <c r="AF24" s="142" t="str">
        <f aca="false">IF(IF(GlobalGH,Climate!$G$35,Climate!$D$35)&lt;=0,"·",IF(IF(GlobalGH,Climate!$I$35,Climate!$F$35)&gt;Crops!$M$22,"H",IF(IF(GlobalGH,Climate!$H$35,Climate!$E$35)&lt;Crops!$K$22,"C","O")))</f>
        <v>·</v>
      </c>
      <c r="AG24" s="142" t="str">
        <f aca="false">IF(IF(GlobalGH,Climate!$G$36,Climate!$D$36)&lt;=0,"·",IF(IF(GlobalGH,Climate!$I$36,Climate!$F$36)&gt;Crops!$M$22,"H",IF(IF(GlobalGH,Climate!$H$36,Climate!$E$36)&lt;Crops!$K$22,"C","O")))</f>
        <v>·</v>
      </c>
      <c r="AH24" s="142" t="str">
        <f aca="false">IF(IF(GlobalGH,Climate!$G$37,Climate!$D$37)&lt;=0,"·",IF(IF(GlobalGH,Climate!$I$37,Climate!$F$37)&gt;Crops!$M$22,"H",IF(IF(GlobalGH,Climate!$H$37,Climate!$E$37)&lt;Crops!$K$22,"C","O")))</f>
        <v>·</v>
      </c>
      <c r="AI24" s="142" t="str">
        <f aca="false">IF(IF(GlobalGH,Climate!$G$38,Climate!$D$38)&lt;=0,"·",IF(IF(GlobalGH,Climate!$I$38,Climate!$F$38)&gt;Crops!$M$22,"H",IF(IF(GlobalGH,Climate!$H$38,Climate!$E$38)&lt;Crops!$K$22,"C","O")))</f>
        <v>C</v>
      </c>
      <c r="AJ24" s="142" t="str">
        <f aca="false">IF(IF(GlobalGH,Climate!$G$39,Climate!$D$39)&lt;=0,"·",IF(IF(GlobalGH,Climate!$I$39,Climate!$F$39)&gt;Crops!$M$22,"H",IF(IF(GlobalGH,Climate!$H$39,Climate!$E$39)&lt;Crops!$K$22,"C","O")))</f>
        <v>C</v>
      </c>
      <c r="AK24" s="142" t="str">
        <f aca="false">IF(IF(GlobalGH,Climate!$G$40,Climate!$D$40)&lt;=0,"·",IF(IF(GlobalGH,Climate!$I$40,Climate!$F$40)&gt;Crops!$M$22,"H",IF(IF(GlobalGH,Climate!$H$40,Climate!$E$40)&lt;Crops!$K$22,"C","O")))</f>
        <v>C</v>
      </c>
      <c r="AL24" s="142" t="str">
        <f aca="false">IF(IF(GlobalGH,Climate!$G$41,Climate!$D$41)&lt;=0,"·",IF(IF(GlobalGH,Climate!$I$41,Climate!$F$41)&gt;Crops!$M$22,"H",IF(IF(GlobalGH,Climate!$H$41,Climate!$E$41)&lt;Crops!$K$22,"C","O")))</f>
        <v>C</v>
      </c>
      <c r="AM24" s="142" t="str">
        <f aca="false">IF(IF(GlobalGH,Climate!$G$42,Climate!$D$42)&lt;=0,"·",IF(IF(GlobalGH,Climate!$I$42,Climate!$F$42)&gt;Crops!$M$22,"H",IF(IF(GlobalGH,Climate!$H$42,Climate!$E$42)&lt;Crops!$K$22,"C","O")))</f>
        <v>C</v>
      </c>
      <c r="AN24" s="142" t="str">
        <f aca="false">IF(IF(GlobalGH,Climate!$G$43,Climate!$D$43)&lt;=0,"·",IF(IF(GlobalGH,Climate!$I$43,Climate!$F$43)&gt;Crops!$M$22,"H",IF(IF(GlobalGH,Climate!$H$43,Climate!$E$43)&lt;Crops!$K$22,"C","O")))</f>
        <v>C</v>
      </c>
      <c r="AO24" s="142" t="str">
        <f aca="false">IF(IF(GlobalGH,Climate!$G$44,Climate!$D$44)&lt;=0,"·",IF(IF(GlobalGH,Climate!$I$44,Climate!$F$44)&gt;Crops!$M$22,"H",IF(IF(GlobalGH,Climate!$H$44,Climate!$E$44)&lt;Crops!$K$22,"C","O")))</f>
        <v>C</v>
      </c>
      <c r="AP24" s="142" t="str">
        <f aca="false">IF(IF(GlobalGH,Climate!$G$45,Climate!$D$45)&lt;=0,"·",IF(IF(GlobalGH,Climate!$I$45,Climate!$F$45)&gt;Crops!$M$22,"H",IF(IF(GlobalGH,Climate!$H$45,Climate!$E$45)&lt;Crops!$K$22,"C","O")))</f>
        <v>C</v>
      </c>
      <c r="AQ24" s="142" t="str">
        <f aca="false">IF(IF(GlobalGH,Climate!$G$46,Climate!$D$46)&lt;=0,"·",IF(IF(GlobalGH,Climate!$I$46,Climate!$F$46)&gt;Crops!$M$22,"H",IF(IF(GlobalGH,Climate!$H$46,Climate!$E$46)&lt;Crops!$K$22,"C","O")))</f>
        <v>C</v>
      </c>
      <c r="AR24" s="142" t="str">
        <f aca="false">IF(IF(GlobalGH,Climate!$G$47,Climate!$D$47)&lt;=0,"·",IF(IF(GlobalGH,Climate!$I$47,Climate!$F$47)&gt;Crops!$M$22,"H",IF(IF(GlobalGH,Climate!$H$47,Climate!$E$47)&lt;Crops!$K$22,"C","O")))</f>
        <v>C</v>
      </c>
      <c r="AS24" s="142" t="str">
        <f aca="false">IF(IF(GlobalGH,Climate!$G$48,Climate!$D$48)&lt;=0,"·",IF(IF(GlobalGH,Climate!$I$48,Climate!$F$48)&gt;Crops!$M$22,"H",IF(IF(GlobalGH,Climate!$H$48,Climate!$E$48)&lt;Crops!$K$22,"C","O")))</f>
        <v>C</v>
      </c>
      <c r="AT24" s="142" t="str">
        <f aca="false">IF(IF(GlobalGH,Climate!$G$49,Climate!$D$49)&lt;=0,"·",IF(IF(GlobalGH,Climate!$I$49,Climate!$F$49)&gt;Crops!$M$22,"H",IF(IF(GlobalGH,Climate!$H$49,Climate!$E$49)&lt;Crops!$K$22,"C","O")))</f>
        <v>C</v>
      </c>
      <c r="AU24" s="142" t="str">
        <f aca="false">IF(IF(GlobalGH,Climate!$G$50,Climate!$D$50)&lt;=0,"·",IF(IF(GlobalGH,Climate!$I$50,Climate!$F$50)&gt;Crops!$M$22,"H",IF(IF(GlobalGH,Climate!$H$50,Climate!$E$50)&lt;Crops!$K$22,"C","O")))</f>
        <v>C</v>
      </c>
      <c r="AV24" s="142" t="str">
        <f aca="false">IF(IF(GlobalGH,Climate!$G$51,Climate!$D$51)&lt;=0,"·",IF(IF(GlobalGH,Climate!$I$51,Climate!$F$51)&gt;Crops!$M$22,"H",IF(IF(GlobalGH,Climate!$H$51,Climate!$E$51)&lt;Crops!$K$22,"C","O")))</f>
        <v>C</v>
      </c>
      <c r="AW24" s="142" t="str">
        <f aca="false">IF(IF(GlobalGH,Climate!$G$52,Climate!$D$52)&lt;=0,"·",IF(IF(GlobalGH,Climate!$I$52,Climate!$F$52)&gt;Crops!$M$22,"H",IF(IF(GlobalGH,Climate!$H$52,Climate!$E$52)&lt;Crops!$K$22,"C","O")))</f>
        <v>C</v>
      </c>
      <c r="AX24" s="142" t="str">
        <f aca="false">IF(IF(GlobalGH,Climate!$G$53,Climate!$D$53)&lt;=0,"·",IF(IF(GlobalGH,Climate!$I$53,Climate!$F$53)&gt;Crops!$M$22,"H",IF(IF(GlobalGH,Climate!$H$53,Climate!$E$53)&lt;Crops!$K$22,"C","O")))</f>
        <v>C</v>
      </c>
      <c r="AY24" s="142" t="str">
        <f aca="false">IF(IF(GlobalGH,Climate!$G$54,Climate!$D$54)&lt;=0,"·",IF(IF(GlobalGH,Climate!$I$54,Climate!$F$54)&gt;Crops!$M$22,"H",IF(IF(GlobalGH,Climate!$H$54,Climate!$E$54)&lt;Crops!$K$22,"C","O")))</f>
        <v>C</v>
      </c>
      <c r="AZ24" s="142" t="str">
        <f aca="false">IF(IF(GlobalGH,Climate!$G$55,Climate!$D$55)&lt;=0,"·",IF(IF(GlobalGH,Climate!$I$55,Climate!$F$55)&gt;Crops!$M$22,"H",IF(IF(GlobalGH,Climate!$H$55,Climate!$E$55)&lt;Crops!$K$22,"C","O")))</f>
        <v>C</v>
      </c>
      <c r="BA24" s="142" t="str">
        <f aca="false">IF(IF(GlobalGH,Climate!$G$56,Climate!$D$56)&lt;=0,"·",IF(IF(GlobalGH,Climate!$I$56,Climate!$F$56)&gt;Crops!$M$22,"H",IF(IF(GlobalGH,Climate!$H$56,Climate!$E$56)&lt;Crops!$K$22,"C","O")))</f>
        <v>C</v>
      </c>
      <c r="BB24" s="142" t="str">
        <f aca="false">IF(IF(GlobalGH,Climate!$G$57,Climate!$D$57)&lt;=0,"·",IF(IF(GlobalGH,Climate!$I$57,Climate!$F$57)&gt;Crops!$M$22,"H",IF(IF(GlobalGH,Climate!$H$57,Climate!$E$57)&lt;Crops!$K$22,"C","O")))</f>
        <v>C</v>
      </c>
      <c r="BC24" s="142" t="str">
        <f aca="false">IF(IF(GlobalGH,Climate!$G$58,Climate!$D$58)&lt;=0,"·",IF(IF(GlobalGH,Climate!$I$58,Climate!$F$58)&gt;Crops!$M$22,"H",IF(IF(GlobalGH,Climate!$H$58,Climate!$E$58)&lt;Crops!$K$22,"C","O")))</f>
        <v>C</v>
      </c>
      <c r="BD24" s="142" t="str">
        <f aca="false">IF(IF(GlobalGH,Climate!$G$59,Climate!$D$59)&lt;=0,"·",IF(IF(GlobalGH,Climate!$I$59,Climate!$F$59)&gt;Crops!$M$22,"H",IF(IF(GlobalGH,Climate!$H$59,Climate!$E$59)&lt;Crops!$K$22,"C","O")))</f>
        <v>O</v>
      </c>
      <c r="BE24" s="142" t="str">
        <f aca="false">IF(IF(GlobalGH,Climate!$G$60,Climate!$D$60)&lt;=0,"·",IF(IF(GlobalGH,Climate!$I$60,Climate!$F$60)&gt;Crops!$M$22,"H",IF(IF(GlobalGH,Climate!$H$60,Climate!$E$60)&lt;Crops!$K$22,"C","O")))</f>
        <v>C</v>
      </c>
      <c r="BF24" s="142" t="str">
        <f aca="false">IF(IF(GlobalGH,Climate!$G$61,Climate!$D$61)&lt;=0,"·",IF(IF(GlobalGH,Climate!$I$61,Climate!$F$61)&gt;Crops!$M$22,"H",IF(IF(GlobalGH,Climate!$H$61,Climate!$E$61)&lt;Crops!$K$22,"C","O")))</f>
        <v>C</v>
      </c>
      <c r="BG24" s="142" t="str">
        <f aca="false">IF(IF(GlobalGH,Climate!$G$62,Climate!$D$62)&lt;=0,"·",IF(IF(GlobalGH,Climate!$I$62,Climate!$F$62)&gt;Crops!$M$22,"H",IF(IF(GlobalGH,Climate!$H$62,Climate!$E$62)&lt;Crops!$K$22,"C","O")))</f>
        <v>C</v>
      </c>
      <c r="BH24" s="142" t="str">
        <f aca="false">IF(IF(GlobalGH,Climate!$G$63,Climate!$D$63)&lt;=0,"·",IF(IF(GlobalGH,Climate!$I$63,Climate!$F$63)&gt;Crops!$M$22,"H",IF(IF(GlobalGH,Climate!$H$63,Climate!$E$63)&lt;Crops!$K$22,"C","O")))</f>
        <v>C</v>
      </c>
      <c r="BI24" s="142" t="str">
        <f aca="false">IF(IF(GlobalGH,Climate!$G$64,Climate!$D$64)&lt;=0,"·",IF(IF(GlobalGH,Climate!$I$64,Climate!$F$64)&gt;Crops!$M$22,"H",IF(IF(GlobalGH,Climate!$H$64,Climate!$E$64)&lt;Crops!$K$22,"C","O")))</f>
        <v>C</v>
      </c>
      <c r="BJ24" s="142" t="str">
        <f aca="false">IF(IF(GlobalGH,Climate!$G$65,Climate!$D$65)&lt;=0,"·",IF(IF(GlobalGH,Climate!$I$65,Climate!$F$65)&gt;Crops!$M$22,"H",IF(IF(GlobalGH,Climate!$H$65,Climate!$E$65)&lt;Crops!$K$22,"C","O")))</f>
        <v>C</v>
      </c>
      <c r="BK24" s="142" t="str">
        <f aca="false">IF(IF(GlobalGH,Climate!$G$66,Climate!$D$66)&lt;=0,"·",IF(IF(GlobalGH,Climate!$I$66,Climate!$F$66)&gt;Crops!$M$22,"H",IF(IF(GlobalGH,Climate!$H$66,Climate!$E$66)&lt;Crops!$K$22,"C","O")))</f>
        <v>C</v>
      </c>
      <c r="BL24" s="142" t="str">
        <f aca="false">IF(IF(GlobalGH,Climate!$G$67,Climate!$D$67)&lt;=0,"·",IF(IF(GlobalGH,Climate!$I$67,Climate!$F$67)&gt;Crops!$M$22,"H",IF(IF(GlobalGH,Climate!$H$67,Climate!$E$67)&lt;Crops!$K$22,"C","O")))</f>
        <v>O</v>
      </c>
      <c r="BM24" s="142" t="str">
        <f aca="false">IF(IF(GlobalGH,Climate!$G$68,Climate!$D$68)&lt;=0,"·",IF(IF(GlobalGH,Climate!$I$68,Climate!$F$68)&gt;Crops!$M$22,"H",IF(IF(GlobalGH,Climate!$H$68,Climate!$E$68)&lt;Crops!$K$22,"C","O")))</f>
        <v>O</v>
      </c>
      <c r="BN24" s="142" t="str">
        <f aca="false">IF(IF(GlobalGH,Climate!$G$69,Climate!$D$69)&lt;=0,"·",IF(IF(GlobalGH,Climate!$I$69,Climate!$F$69)&gt;Crops!$M$22,"H",IF(IF(GlobalGH,Climate!$H$69,Climate!$E$69)&lt;Crops!$K$22,"C","O")))</f>
        <v>C</v>
      </c>
      <c r="BO24" s="142" t="str">
        <f aca="false">IF(IF(GlobalGH,Climate!$G$70,Climate!$D$70)&lt;=0,"·",IF(IF(GlobalGH,Climate!$I$70,Climate!$F$70)&gt;Crops!$M$22,"H",IF(IF(GlobalGH,Climate!$H$70,Climate!$E$70)&lt;Crops!$K$22,"C","O")))</f>
        <v>C</v>
      </c>
      <c r="BP24" s="142" t="str">
        <f aca="false">IF(IF(GlobalGH,Climate!$G$71,Climate!$D$71)&lt;=0,"·",IF(IF(GlobalGH,Climate!$I$71,Climate!$F$71)&gt;Crops!$M$22,"H",IF(IF(GlobalGH,Climate!$H$71,Climate!$E$71)&lt;Crops!$K$22,"C","O")))</f>
        <v>C</v>
      </c>
      <c r="BQ24" s="142" t="str">
        <f aca="false">IF(IF(GlobalGH,Climate!$G$72,Climate!$D$72)&lt;=0,"·",IF(IF(GlobalGH,Climate!$I$72,Climate!$F$72)&gt;Crops!$M$22,"H",IF(IF(GlobalGH,Climate!$H$72,Climate!$E$72)&lt;Crops!$K$22,"C","O")))</f>
        <v>C</v>
      </c>
      <c r="BR24" s="142" t="str">
        <f aca="false">IF(IF(GlobalGH,Climate!$G$73,Climate!$D$73)&lt;=0,"·",IF(IF(GlobalGH,Climate!$I$73,Climate!$F$73)&gt;Crops!$M$22,"H",IF(IF(GlobalGH,Climate!$H$73,Climate!$E$73)&lt;Crops!$K$22,"C","O")))</f>
        <v>C</v>
      </c>
      <c r="BS24" s="142" t="str">
        <f aca="false">IF(IF(GlobalGH,Climate!$G$74,Climate!$D$74)&lt;=0,"·",IF(IF(GlobalGH,Climate!$I$74,Climate!$F$74)&gt;Crops!$M$22,"H",IF(IF(GlobalGH,Climate!$H$74,Climate!$E$74)&lt;Crops!$K$22,"C","O")))</f>
        <v>C</v>
      </c>
      <c r="BT24" s="142" t="str">
        <f aca="false">IF(IF(GlobalGH,Climate!$G$75,Climate!$D$75)&lt;=0,"·",IF(IF(GlobalGH,Climate!$I$75,Climate!$F$75)&gt;Crops!$M$22,"H",IF(IF(GlobalGH,Climate!$H$75,Climate!$E$75)&lt;Crops!$K$22,"C","O")))</f>
        <v>C</v>
      </c>
      <c r="BU24" s="142" t="str">
        <f aca="false">IF(IF(GlobalGH,Climate!$G$76,Climate!$D$76)&lt;=0,"·",IF(IF(GlobalGH,Climate!$I$76,Climate!$F$76)&gt;Crops!$M$22,"H",IF(IF(GlobalGH,Climate!$H$76,Climate!$E$76)&lt;Crops!$K$22,"C","O")))</f>
        <v>C</v>
      </c>
      <c r="BV24" s="142" t="str">
        <f aca="false">IF(IF(GlobalGH,Climate!$G$77,Climate!$D$77)&lt;=0,"·",IF(IF(GlobalGH,Climate!$I$77,Climate!$F$77)&gt;Crops!$M$22,"H",IF(IF(GlobalGH,Climate!$H$77,Climate!$E$77)&lt;Crops!$K$22,"C","O")))</f>
        <v>C</v>
      </c>
      <c r="BW24" s="142" t="str">
        <f aca="false">IF(IF(GlobalGH,Climate!$G$78,Climate!$D$78)&lt;=0,"·",IF(IF(GlobalGH,Climate!$I$78,Climate!$F$78)&gt;Crops!$M$22,"H",IF(IF(GlobalGH,Climate!$H$78,Climate!$E$78)&lt;Crops!$K$22,"C","O")))</f>
        <v>C</v>
      </c>
      <c r="BX24" s="142" t="str">
        <f aca="false">IF(IF(GlobalGH,Climate!$G$79,Climate!$D$79)&lt;=0,"·",IF(IF(GlobalGH,Climate!$I$79,Climate!$F$79)&gt;Crops!$M$22,"H",IF(IF(GlobalGH,Climate!$H$79,Climate!$E$79)&lt;Crops!$K$22,"C","O")))</f>
        <v>C</v>
      </c>
      <c r="BY24" s="142" t="str">
        <f aca="false">IF(IF(GlobalGH,Climate!$G$80,Climate!$D$80)&lt;=0,"·",IF(IF(GlobalGH,Climate!$I$80,Climate!$F$80)&gt;Crops!$M$22,"H",IF(IF(GlobalGH,Climate!$H$80,Climate!$E$80)&lt;Crops!$K$22,"C","O")))</f>
        <v>C</v>
      </c>
      <c r="BZ24" s="142" t="str">
        <f aca="false">IF(IF(GlobalGH,Climate!$G$81,Climate!$D$81)&lt;=0,"·",IF(IF(GlobalGH,Climate!$I$81,Climate!$F$81)&gt;Crops!$M$22,"H",IF(IF(GlobalGH,Climate!$H$81,Climate!$E$81)&lt;Crops!$K$22,"C","O")))</f>
        <v>C</v>
      </c>
      <c r="CA24" s="142" t="str">
        <f aca="false">IF(IF(GlobalGH,Climate!$G$82,Climate!$D$82)&lt;=0,"·",IF(IF(GlobalGH,Climate!$I$82,Climate!$F$82)&gt;Crops!$M$22,"H",IF(IF(GlobalGH,Climate!$H$82,Climate!$E$82)&lt;Crops!$K$22,"C","O")))</f>
        <v>C</v>
      </c>
      <c r="CB24" s="142" t="str">
        <f aca="false">IF(IF(GlobalGH,Climate!$G$83,Climate!$D$83)&lt;=0,"·",IF(IF(GlobalGH,Climate!$I$83,Climate!$F$83)&gt;Crops!$M$22,"H",IF(IF(GlobalGH,Climate!$H$83,Climate!$E$83)&lt;Crops!$K$22,"C","O")))</f>
        <v>C</v>
      </c>
      <c r="CC24" s="142" t="str">
        <f aca="false">IF(IF(GlobalGH,Climate!$G$84,Climate!$D$84)&lt;=0,"·",IF(IF(GlobalGH,Climate!$I$84,Climate!$F$84)&gt;Crops!$M$22,"H",IF(IF(GlobalGH,Climate!$H$84,Climate!$E$84)&lt;Crops!$K$22,"C","O")))</f>
        <v>C</v>
      </c>
      <c r="CD24" s="142" t="str">
        <f aca="false">IF(IF(GlobalGH,Climate!$G$85,Climate!$D$85)&lt;=0,"·",IF(IF(GlobalGH,Climate!$I$85,Climate!$F$85)&gt;Crops!$M$22,"H",IF(IF(GlobalGH,Climate!$H$85,Climate!$E$85)&lt;Crops!$K$22,"C","O")))</f>
        <v>C</v>
      </c>
      <c r="CE24" s="142" t="str">
        <f aca="false">IF(IF(GlobalGH,Climate!$G$86,Climate!$D$86)&lt;=0,"·",IF(IF(GlobalGH,Climate!$I$86,Climate!$F$86)&gt;Crops!$M$22,"H",IF(IF(GlobalGH,Climate!$H$86,Climate!$E$86)&lt;Crops!$K$22,"C","O")))</f>
        <v>C</v>
      </c>
      <c r="CF24" s="142" t="str">
        <f aca="false">IF(IF(GlobalGH,Climate!$G$87,Climate!$D$87)&lt;=0,"·",IF(IF(GlobalGH,Climate!$I$87,Climate!$F$87)&gt;Crops!$M$22,"H",IF(IF(GlobalGH,Climate!$H$87,Climate!$E$87)&lt;Crops!$K$22,"C","O")))</f>
        <v>C</v>
      </c>
      <c r="CG24" s="142" t="str">
        <f aca="false">IF(IF(GlobalGH,Climate!$G$88,Climate!$D$88)&lt;=0,"·",IF(IF(GlobalGH,Climate!$I$88,Climate!$F$88)&gt;Crops!$M$22,"H",IF(IF(GlobalGH,Climate!$H$88,Climate!$E$88)&lt;Crops!$K$22,"C","O")))</f>
        <v>·</v>
      </c>
      <c r="CH24" s="142" t="str">
        <f aca="false">IF(IF(GlobalGH,Climate!$G$89,Climate!$D$89)&lt;=0,"·",IF(IF(GlobalGH,Climate!$I$89,Climate!$F$89)&gt;Crops!$M$22,"H",IF(IF(GlobalGH,Climate!$H$89,Climate!$E$89)&lt;Crops!$K$22,"C","O")))</f>
        <v>·</v>
      </c>
      <c r="CI24" s="142" t="str">
        <f aca="false">IF(IF(GlobalGH,Climate!$G$90,Climate!$D$90)&lt;=0,"·",IF(IF(GlobalGH,Climate!$I$90,Climate!$F$90)&gt;Crops!$M$22,"H",IF(IF(GlobalGH,Climate!$H$90,Climate!$E$90)&lt;Crops!$K$22,"C","O")))</f>
        <v>·</v>
      </c>
      <c r="CJ24" s="142" t="str">
        <f aca="false">IF(IF(GlobalGH,Climate!$G$91,Climate!$D$91)&lt;=0,"·",IF(IF(GlobalGH,Climate!$I$91,Climate!$F$91)&gt;Crops!$M$22,"H",IF(IF(GlobalGH,Climate!$H$91,Climate!$E$91)&lt;Crops!$K$22,"C","O")))</f>
        <v>·</v>
      </c>
      <c r="CK24" s="142" t="str">
        <f aca="false">IF(IF(GlobalGH,Climate!$G$92,Climate!$D$92)&lt;=0,"·",IF(IF(GlobalGH,Climate!$I$92,Climate!$F$92)&gt;Crops!$M$22,"H",IF(IF(GlobalGH,Climate!$H$92,Climate!$E$92)&lt;Crops!$K$22,"C","O")))</f>
        <v>·</v>
      </c>
      <c r="CL24" s="142" t="str">
        <f aca="false">IF(IF(GlobalGH,Climate!$G$93,Climate!$D$93)&lt;=0,"·",IF(IF(GlobalGH,Climate!$I$93,Climate!$F$93)&gt;Crops!$M$22,"H",IF(IF(GlobalGH,Climate!$H$93,Climate!$E$93)&lt;Crops!$K$22,"C","O")))</f>
        <v>·</v>
      </c>
      <c r="CM24" s="142" t="str">
        <f aca="false">IF(IF(GlobalGH,Climate!$G$94,Climate!$D$94)&lt;=0,"·",IF(IF(GlobalGH,Climate!$I$94,Climate!$F$94)&gt;Crops!$M$22,"H",IF(IF(GlobalGH,Climate!$H$94,Climate!$E$94)&lt;Crops!$K$22,"C","O")))</f>
        <v>·</v>
      </c>
      <c r="CN24" s="142" t="str">
        <f aca="false">IF(IF(GlobalGH,Climate!$G$95,Climate!$D$95)&lt;=0,"·",IF(IF(GlobalGH,Climate!$I$95,Climate!$F$95)&gt;Crops!$M$22,"H",IF(IF(GlobalGH,Climate!$H$95,Climate!$E$95)&lt;Crops!$K$22,"C","O")))</f>
        <v>·</v>
      </c>
      <c r="CO24" s="142" t="str">
        <f aca="false">IF(IF(GlobalGH,Climate!$G$96,Climate!$D$96)&lt;=0,"·",IF(IF(GlobalGH,Climate!$I$96,Climate!$F$96)&gt;Crops!$M$22,"H",IF(IF(GlobalGH,Climate!$H$96,Climate!$E$96)&lt;Crops!$K$22,"C","O")))</f>
        <v>·</v>
      </c>
      <c r="CP24" s="142" t="str">
        <f aca="false">IF(IF(GlobalGH,Climate!$G$97,Climate!$D$97)&lt;=0,"·",IF(IF(GlobalGH,Climate!$I$97,Climate!$F$97)&gt;Crops!$M$22,"H",IF(IF(GlobalGH,Climate!$H$97,Climate!$E$97)&lt;Crops!$K$22,"C","O")))</f>
        <v>·</v>
      </c>
      <c r="CQ24" s="142" t="str">
        <f aca="false">IF(IF(GlobalGH,Climate!$G$98,Climate!$D$98)&lt;=0,"·",IF(IF(GlobalGH,Climate!$I$98,Climate!$F$98)&gt;Crops!$M$22,"H",IF(IF(GlobalGH,Climate!$H$98,Climate!$E$98)&lt;Crops!$K$22,"C","O")))</f>
        <v>·</v>
      </c>
      <c r="CR24" s="142" t="str">
        <f aca="false">IF(IF(GlobalGH,Climate!$G$99,Climate!$D$99)&lt;=0,"·",IF(IF(GlobalGH,Climate!$I$99,Climate!$F$99)&gt;Crops!$M$22,"H",IF(IF(GlobalGH,Climate!$H$99,Climate!$E$99)&lt;Crops!$K$22,"C","O")))</f>
        <v>·</v>
      </c>
      <c r="CS24" s="142" t="str">
        <f aca="false">IF(IF(GlobalGH,Climate!$G$100,Climate!$D$100)&lt;=0,"·",IF(IF(GlobalGH,Climate!$I$100,Climate!$F$100)&gt;Crops!$M$22,"H",IF(IF(GlobalGH,Climate!$H$100,Climate!$E$100)&lt;Crops!$K$22,"C","O")))</f>
        <v>·</v>
      </c>
      <c r="CT24" s="142" t="str">
        <f aca="false">IF(IF(GlobalGH,Climate!$G$101,Climate!$D$101)&lt;=0,"·",IF(IF(GlobalGH,Climate!$I$101,Climate!$F$101)&gt;Crops!$M$22,"H",IF(IF(GlobalGH,Climate!$H$101,Climate!$E$101)&lt;Crops!$K$22,"C","O")))</f>
        <v>·</v>
      </c>
      <c r="CU24" s="142" t="str">
        <f aca="false">IF(IF(GlobalGH,Climate!$G$102,Climate!$D$102)&lt;=0,"·",IF(IF(GlobalGH,Climate!$I$102,Climate!$F$102)&gt;Crops!$M$22,"H",IF(IF(GlobalGH,Climate!$H$102,Climate!$E$102)&lt;Crops!$K$22,"C","O")))</f>
        <v>·</v>
      </c>
      <c r="CV24" s="142" t="str">
        <f aca="false">IF(IF(GlobalGH,Climate!$G$103,Climate!$D$103)&lt;=0,"·",IF(IF(GlobalGH,Climate!$I$103,Climate!$F$103)&gt;Crops!$M$22,"H",IF(IF(GlobalGH,Climate!$H$103,Climate!$E$103)&lt;Crops!$K$22,"C","O")))</f>
        <v>·</v>
      </c>
      <c r="CW24" s="142" t="str">
        <f aca="false">IF(IF(GlobalGH,Climate!$G$104,Climate!$D$104)&lt;=0,"·",IF(IF(GlobalGH,Climate!$I$104,Climate!$F$104)&gt;Crops!$M$22,"H",IF(IF(GlobalGH,Climate!$H$104,Climate!$E$104)&lt;Crops!$K$22,"C","O")))</f>
        <v>·</v>
      </c>
      <c r="CX24" s="142" t="str">
        <f aca="false">IF(IF(GlobalGH,Climate!$G$105,Climate!$D$105)&lt;=0,"·",IF(IF(GlobalGH,Climate!$I$105,Climate!$F$105)&gt;Crops!$M$22,"H",IF(IF(GlobalGH,Climate!$H$105,Climate!$E$105)&lt;Crops!$K$22,"C","O")))</f>
        <v>·</v>
      </c>
      <c r="CY24" s="142" t="str">
        <f aca="false">IF(IF(GlobalGH,Climate!$G$106,Climate!$D$106)&lt;=0,"·",IF(IF(GlobalGH,Climate!$I$106,Climate!$F$106)&gt;Crops!$M$22,"H",IF(IF(GlobalGH,Climate!$H$106,Climate!$E$106)&lt;Crops!$K$22,"C","O")))</f>
        <v>·</v>
      </c>
      <c r="CZ24" s="142" t="str">
        <f aca="false">IF(IF(GlobalGH,Climate!$G$107,Climate!$D$107)&lt;=0,"·",IF(IF(GlobalGH,Climate!$I$107,Climate!$F$107)&gt;Crops!$M$22,"H",IF(IF(GlobalGH,Climate!$H$107,Climate!$E$107)&lt;Crops!$K$22,"C","O")))</f>
        <v>·</v>
      </c>
      <c r="DA24" s="142" t="str">
        <f aca="false">IF(IF(GlobalGH,Climate!$G$108,Climate!$D$108)&lt;=0,"·",IF(IF(GlobalGH,Climate!$I$108,Climate!$F$108)&gt;Crops!$M$22,"H",IF(IF(GlobalGH,Climate!$H$108,Climate!$E$108)&lt;Crops!$K$22,"C","O")))</f>
        <v>·</v>
      </c>
      <c r="DB24" s="142" t="str">
        <f aca="false">IF(IF(GlobalGH,Climate!$G$109,Climate!$D$109)&lt;=0,"·",IF(IF(GlobalGH,Climate!$I$109,Climate!$F$109)&gt;Crops!$M$22,"H",IF(IF(GlobalGH,Climate!$H$109,Climate!$E$109)&lt;Crops!$K$22,"C","O")))</f>
        <v>·</v>
      </c>
      <c r="DC24" s="142" t="str">
        <f aca="false">IF(IF(GlobalGH,Climate!$G$110,Climate!$D$110)&lt;=0,"·",IF(IF(GlobalGH,Climate!$I$110,Climate!$F$110)&gt;Crops!$M$22,"H",IF(IF(GlobalGH,Climate!$H$110,Climate!$E$110)&lt;Crops!$K$22,"C","O")))</f>
        <v>·</v>
      </c>
      <c r="DD24" s="142" t="str">
        <f aca="false">IF(IF(GlobalGH,Climate!$G$111,Climate!$D$111)&lt;=0,"·",IF(IF(GlobalGH,Climate!$I$111,Climate!$F$111)&gt;Crops!$M$22,"H",IF(IF(GlobalGH,Climate!$H$111,Climate!$E$111)&lt;Crops!$K$22,"C","O")))</f>
        <v>·</v>
      </c>
      <c r="DE24" s="142" t="str">
        <f aca="false">IF(IF(GlobalGH,Climate!$G$112,Climate!$D$112)&lt;=0,"·",IF(IF(GlobalGH,Climate!$I$112,Climate!$F$112)&gt;Crops!$M$22,"H",IF(IF(GlobalGH,Climate!$H$112,Climate!$E$112)&lt;Crops!$K$22,"C","O")))</f>
        <v>·</v>
      </c>
      <c r="DF24" s="143" t="n">
        <f aca="false">COUNTIF(B24:DE24,"O")</f>
        <v>3</v>
      </c>
      <c r="DG24" s="139" t="s">
        <v>421</v>
      </c>
    </row>
    <row r="27" customFormat="false" ht="27.75" hidden="false" customHeight="true" outlineLevel="0" collapsed="false">
      <c r="A27" s="128" t="s">
        <v>466</v>
      </c>
      <c r="B27" s="145" t="s">
        <v>467</v>
      </c>
      <c r="C27" s="146" t="s">
        <v>468</v>
      </c>
      <c r="D27" s="146"/>
      <c r="E27" s="146"/>
      <c r="F27" s="146"/>
      <c r="G27" s="147" t="s">
        <v>469</v>
      </c>
      <c r="H27" s="146" t="s">
        <v>470</v>
      </c>
      <c r="I27" s="146"/>
      <c r="J27" s="146"/>
      <c r="K27" s="146"/>
      <c r="L27" s="148" t="s">
        <v>471</v>
      </c>
      <c r="M27" s="146" t="s">
        <v>472</v>
      </c>
      <c r="N27" s="146"/>
      <c r="O27" s="146"/>
      <c r="P27" s="146"/>
      <c r="Q27" s="149" t="s">
        <v>473</v>
      </c>
      <c r="R27" s="146" t="s">
        <v>474</v>
      </c>
      <c r="S27" s="146"/>
      <c r="T27" s="146"/>
      <c r="U27" s="146"/>
    </row>
    <row r="28" customFormat="false" ht="24" hidden="false" customHeight="true" outlineLevel="0" collapsed="false">
      <c r="A28" s="5" t="s">
        <v>475</v>
      </c>
      <c r="B28" s="5"/>
      <c r="C28" s="5"/>
      <c r="D28" s="5"/>
      <c r="E28" s="5"/>
      <c r="F28" s="5"/>
      <c r="G28" s="5"/>
      <c r="H28" s="5"/>
      <c r="I28" s="5"/>
      <c r="J28" s="5"/>
      <c r="K28" s="5"/>
      <c r="L28" s="5"/>
      <c r="M28" s="5"/>
      <c r="N28" s="5"/>
      <c r="O28" s="5"/>
      <c r="P28" s="5"/>
      <c r="Q28" s="5"/>
      <c r="R28" s="5"/>
      <c r="S28" s="5"/>
      <c r="T28" s="5"/>
    </row>
  </sheetData>
  <mergeCells count="21">
    <mergeCell ref="A1:AT1"/>
    <mergeCell ref="A2:AT2"/>
    <mergeCell ref="B3:F3"/>
    <mergeCell ref="B4:J4"/>
    <mergeCell ref="K4:S4"/>
    <mergeCell ref="T4:AB4"/>
    <mergeCell ref="AC4:AK4"/>
    <mergeCell ref="AL4:AT4"/>
    <mergeCell ref="AU4:BC4"/>
    <mergeCell ref="BD4:BL4"/>
    <mergeCell ref="BM4:BU4"/>
    <mergeCell ref="BV4:CD4"/>
    <mergeCell ref="CE4:CM4"/>
    <mergeCell ref="CN4:CV4"/>
    <mergeCell ref="CW4:DE4"/>
    <mergeCell ref="DF5:DG5"/>
    <mergeCell ref="C27:F27"/>
    <mergeCell ref="H27:K27"/>
    <mergeCell ref="M27:P27"/>
    <mergeCell ref="R27:U27"/>
    <mergeCell ref="A28:T28"/>
  </mergeCells>
  <conditionalFormatting sqref="B7:DE24">
    <cfRule type="expression" priority="2" aboveAverage="0" equalAverage="0" bottom="0" percent="0" rank="0" text="" dxfId="6">
      <formula>B7="O"</formula>
    </cfRule>
    <cfRule type="expression" priority="3" aboveAverage="0" equalAverage="0" bottom="0" percent="0" rank="0" text="" dxfId="7">
      <formula>B7="C"</formula>
    </cfRule>
    <cfRule type="expression" priority="4" aboveAverage="0" equalAverage="0" bottom="0" percent="0" rank="0" text="" dxfId="5">
      <formula>B7="H"</formula>
    </cfRule>
    <cfRule type="expression" priority="5" aboveAverage="0" equalAverage="0" bottom="0" percent="0" rank="0" text="" dxfId="4">
      <formula>B7="·"</formula>
    </cfRule>
  </conditionalFormatting>
  <printOptions headings="false" gridLines="false" gridLinesSet="true" horizontalCentered="false" verticalCentered="false"/>
  <pageMargins left="0.25" right="0.25" top="0.4" bottom="0.4" header="0.511811023622047" footer="0.511811023622047"/>
  <pageSetup paperSize="9" scale="100" fitToWidth="2"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A15E"/>
    <pageSetUpPr fitToPage="true"/>
  </sheetPr>
  <dimension ref="A1:O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0"/>
    <col collapsed="false" customWidth="true" hidden="false" outlineLevel="0" max="6" min="3" style="1" width="14"/>
    <col collapsed="false" customWidth="true" hidden="false" outlineLevel="0" max="7" min="7" style="1" width="60"/>
    <col collapsed="false" customWidth="true" hidden="false" outlineLevel="0" max="15" min="10" style="1" width="8"/>
  </cols>
  <sheetData>
    <row r="1" customFormat="false" ht="36" hidden="false" customHeight="true" outlineLevel="0" collapsed="false">
      <c r="A1" s="2" t="s">
        <v>476</v>
      </c>
      <c r="B1" s="2"/>
      <c r="C1" s="2"/>
      <c r="D1" s="2"/>
      <c r="E1" s="2"/>
      <c r="F1" s="2"/>
      <c r="G1" s="2"/>
    </row>
    <row r="2" customFormat="false" ht="18" hidden="false" customHeight="true" outlineLevel="0" collapsed="false">
      <c r="A2" s="3" t="s">
        <v>477</v>
      </c>
      <c r="B2" s="3"/>
      <c r="C2" s="3"/>
      <c r="D2" s="3"/>
      <c r="E2" s="3"/>
      <c r="F2" s="3"/>
      <c r="G2" s="3"/>
    </row>
    <row r="3" customFormat="false" ht="3.75" hidden="false" customHeight="true" outlineLevel="0" collapsed="false">
      <c r="A3" s="4"/>
      <c r="B3" s="4"/>
      <c r="C3" s="4"/>
      <c r="D3" s="4"/>
      <c r="E3" s="4"/>
      <c r="F3" s="4"/>
      <c r="G3" s="4"/>
    </row>
    <row r="4" customFormat="false" ht="24" hidden="false" customHeight="true" outlineLevel="0" collapsed="false">
      <c r="A4" s="5" t="s">
        <v>478</v>
      </c>
      <c r="B4" s="5"/>
      <c r="C4" s="5"/>
      <c r="D4" s="5"/>
      <c r="E4" s="5"/>
      <c r="F4" s="5"/>
      <c r="G4" s="5"/>
    </row>
    <row r="5" customFormat="false" ht="19.5" hidden="false" customHeight="true" outlineLevel="0" collapsed="false">
      <c r="A5" s="38"/>
      <c r="B5" s="150" t="s">
        <v>479</v>
      </c>
      <c r="C5" s="151" t="s">
        <v>101</v>
      </c>
      <c r="D5" s="152" t="s">
        <v>480</v>
      </c>
      <c r="E5" s="38"/>
      <c r="F5" s="38"/>
      <c r="G5" s="38"/>
      <c r="J5" s="153" t="s">
        <v>481</v>
      </c>
      <c r="K5" s="154" t="s">
        <v>482</v>
      </c>
      <c r="L5" s="154" t="s">
        <v>483</v>
      </c>
      <c r="M5" s="154" t="s">
        <v>484</v>
      </c>
      <c r="N5" s="154" t="s">
        <v>485</v>
      </c>
      <c r="O5" s="154" t="s">
        <v>486</v>
      </c>
    </row>
    <row r="6" customFormat="false" ht="19.5" hidden="false" customHeight="true" outlineLevel="0" collapsed="false">
      <c r="A6" s="45"/>
      <c r="B6" s="155" t="s">
        <v>487</v>
      </c>
      <c r="C6" s="151" t="n">
        <v>50</v>
      </c>
      <c r="D6" s="156" t="str">
        <f aca="false">MOD($C$6-1,DaysPerMonth)+1&amp;" "&amp;CHOOSE(INT(($C$6-1)/DaysPerMonth)+1,"Jan","Feb","Mar","Apr","May","Jun","Jul","Aug","Sep","Oct","Nov","Dec")</f>
        <v>5 Jun</v>
      </c>
      <c r="E6" s="45"/>
      <c r="F6" s="45"/>
      <c r="G6" s="45"/>
      <c r="J6" s="153" t="n">
        <f aca="false">IF($C$6+0&gt;DaysPerYear,$C$6+0-DaysPerYear,$C$6+0)</f>
        <v>50</v>
      </c>
      <c r="K6" s="154" t="n">
        <f aca="false">IF($C$8,INDEX(Climate!$G$5:$G$112,$J6),INDEX(Climate!$D$5:$D$112,$J6))</f>
        <v>13.54</v>
      </c>
      <c r="L6" s="154" t="n">
        <f aca="false">IF($C$8,INDEX(Climate!$H$5:$H$112,$J6),INDEX(Climate!$E$5:$E$112,$J6))</f>
        <v>4.66</v>
      </c>
      <c r="M6" s="154" t="n">
        <f aca="false">IF($C$8,INDEX(Climate!$I$5:$I$112,$J6),INDEX(Climate!$F$5:$F$112,$J6))</f>
        <v>22.84</v>
      </c>
      <c r="N6" s="154" t="n">
        <f aca="false">$C$19</f>
        <v>-12</v>
      </c>
      <c r="O6" s="154" t="n">
        <f aca="false">MIN($C$20,50)</f>
        <v>27</v>
      </c>
    </row>
    <row r="7" customFormat="false" ht="19.5" hidden="false" customHeight="true" outlineLevel="0" collapsed="false">
      <c r="A7" s="38"/>
      <c r="B7" s="150" t="s">
        <v>488</v>
      </c>
      <c r="C7" s="151" t="n">
        <v>65</v>
      </c>
      <c r="D7" s="152" t="s">
        <v>489</v>
      </c>
      <c r="E7" s="38"/>
      <c r="F7" s="38"/>
      <c r="G7" s="38"/>
      <c r="J7" s="153" t="n">
        <f aca="false">IF($C$6+1&gt;DaysPerYear,$C$6+1-DaysPerYear,$C$6+1)</f>
        <v>51</v>
      </c>
      <c r="K7" s="154" t="n">
        <f aca="false">IF($C$8,INDEX(Climate!$G$5:$G$112,$J7),INDEX(Climate!$D$5:$D$112,$J7))</f>
        <v>14.19</v>
      </c>
      <c r="L7" s="154" t="n">
        <f aca="false">IF($C$8,INDEX(Climate!$H$5:$H$112,$J7),INDEX(Climate!$E$5:$E$112,$J7))</f>
        <v>4.89</v>
      </c>
      <c r="M7" s="154" t="n">
        <f aca="false">IF($C$8,INDEX(Climate!$I$5:$I$112,$J7),INDEX(Climate!$F$5:$F$112,$J7))</f>
        <v>23.73</v>
      </c>
      <c r="N7" s="154" t="n">
        <f aca="false">$C$19</f>
        <v>-12</v>
      </c>
      <c r="O7" s="154" t="n">
        <f aca="false">MIN($C$20,50)</f>
        <v>27</v>
      </c>
    </row>
    <row r="8" customFormat="false" ht="19.5" hidden="false" customHeight="true" outlineLevel="0" collapsed="false">
      <c r="A8" s="45"/>
      <c r="B8" s="155" t="s">
        <v>66</v>
      </c>
      <c r="C8" s="157" t="b">
        <f aca="false">FALSE()</f>
        <v>0</v>
      </c>
      <c r="D8" s="158" t="s">
        <v>490</v>
      </c>
      <c r="E8" s="45"/>
      <c r="F8" s="45"/>
      <c r="G8" s="45"/>
      <c r="J8" s="153" t="n">
        <f aca="false">IF($C$6+2&gt;DaysPerYear,$C$6+2-DaysPerYear,$C$6+2)</f>
        <v>52</v>
      </c>
      <c r="K8" s="154" t="n">
        <f aca="false">IF($C$8,INDEX(Climate!$G$5:$G$112,$J8),INDEX(Climate!$D$5:$D$112,$J8))</f>
        <v>14.33</v>
      </c>
      <c r="L8" s="154" t="n">
        <f aca="false">IF($C$8,INDEX(Climate!$H$5:$H$112,$J8),INDEX(Climate!$E$5:$E$112,$J8))</f>
        <v>5.41</v>
      </c>
      <c r="M8" s="154" t="n">
        <f aca="false">IF($C$8,INDEX(Climate!$I$5:$I$112,$J8),INDEX(Climate!$F$5:$F$112,$J8))</f>
        <v>23.45</v>
      </c>
      <c r="N8" s="154" t="n">
        <f aca="false">$C$19</f>
        <v>-12</v>
      </c>
      <c r="O8" s="154" t="n">
        <f aca="false">MIN($C$20,50)</f>
        <v>27</v>
      </c>
    </row>
    <row r="9" customFormat="false" ht="19.5" hidden="false" customHeight="true" outlineLevel="0" collapsed="false">
      <c r="A9" s="38"/>
      <c r="B9" s="150" t="s">
        <v>491</v>
      </c>
      <c r="C9" s="159" t="n">
        <f aca="false">Moisture</f>
        <v>0.75</v>
      </c>
      <c r="D9" s="152" t="s">
        <v>492</v>
      </c>
      <c r="E9" s="38"/>
      <c r="F9" s="38"/>
      <c r="G9" s="38"/>
      <c r="J9" s="153" t="n">
        <f aca="false">IF($C$6+3&gt;DaysPerYear,$C$6+3-DaysPerYear,$C$6+3)</f>
        <v>53</v>
      </c>
      <c r="K9" s="154" t="n">
        <f aca="false">IF($C$8,INDEX(Climate!$G$5:$G$112,$J9),INDEX(Climate!$D$5:$D$112,$J9))</f>
        <v>14.57</v>
      </c>
      <c r="L9" s="154" t="n">
        <f aca="false">IF($C$8,INDEX(Climate!$H$5:$H$112,$J9),INDEX(Climate!$E$5:$E$112,$J9))</f>
        <v>5.28</v>
      </c>
      <c r="M9" s="154" t="n">
        <f aca="false">IF($C$8,INDEX(Climate!$I$5:$I$112,$J9),INDEX(Climate!$F$5:$F$112,$J9))</f>
        <v>23.99</v>
      </c>
      <c r="N9" s="154" t="n">
        <f aca="false">$C$19</f>
        <v>-12</v>
      </c>
      <c r="O9" s="154" t="n">
        <f aca="false">MIN($C$20,50)</f>
        <v>27</v>
      </c>
    </row>
    <row r="10" customFormat="false" ht="15" hidden="false" customHeight="true" outlineLevel="0" collapsed="false">
      <c r="J10" s="153" t="n">
        <f aca="false">IF($C$6+4&gt;DaysPerYear,$C$6+4-DaysPerYear,$C$6+4)</f>
        <v>54</v>
      </c>
      <c r="K10" s="154" t="n">
        <f aca="false">IF($C$8,INDEX(Climate!$G$5:$G$112,$J10),INDEX(Climate!$D$5:$D$112,$J10))</f>
        <v>14.2</v>
      </c>
      <c r="L10" s="154" t="n">
        <f aca="false">IF($C$8,INDEX(Climate!$H$5:$H$112,$J10),INDEX(Climate!$E$5:$E$112,$J10))</f>
        <v>5.52</v>
      </c>
      <c r="M10" s="154" t="n">
        <f aca="false">IF($C$8,INDEX(Climate!$I$5:$I$112,$J10),INDEX(Climate!$F$5:$F$112,$J10))</f>
        <v>22.79</v>
      </c>
      <c r="N10" s="154" t="n">
        <f aca="false">$C$19</f>
        <v>-12</v>
      </c>
      <c r="O10" s="154" t="n">
        <f aca="false">MIN($C$20,50)</f>
        <v>27</v>
      </c>
    </row>
    <row r="11" customFormat="false" ht="24" hidden="false" customHeight="true" outlineLevel="0" collapsed="false">
      <c r="A11" s="5" t="s">
        <v>493</v>
      </c>
      <c r="B11" s="5"/>
      <c r="C11" s="5"/>
      <c r="D11" s="5"/>
      <c r="E11" s="5"/>
      <c r="F11" s="5"/>
      <c r="G11" s="5"/>
      <c r="J11" s="153" t="n">
        <f aca="false">IF($C$6+5&gt;DaysPerYear,$C$6+5-DaysPerYear,$C$6+5)</f>
        <v>55</v>
      </c>
      <c r="K11" s="154" t="n">
        <f aca="false">IF($C$8,INDEX(Climate!$G$5:$G$112,$J11),INDEX(Climate!$D$5:$D$112,$J11))</f>
        <v>14.94</v>
      </c>
      <c r="L11" s="154" t="n">
        <f aca="false">IF($C$8,INDEX(Climate!$H$5:$H$112,$J11),INDEX(Climate!$E$5:$E$112,$J11))</f>
        <v>6.53</v>
      </c>
      <c r="M11" s="154" t="n">
        <f aca="false">IF($C$8,INDEX(Climate!$I$5:$I$112,$J11),INDEX(Climate!$F$5:$F$112,$J11))</f>
        <v>24.07</v>
      </c>
      <c r="N11" s="154" t="n">
        <f aca="false">$C$19</f>
        <v>-12</v>
      </c>
      <c r="O11" s="154" t="n">
        <f aca="false">MIN($C$20,50)</f>
        <v>27</v>
      </c>
    </row>
    <row r="12" customFormat="false" ht="19.5" hidden="false" customHeight="true" outlineLevel="0" collapsed="false">
      <c r="A12" s="38"/>
      <c r="B12" s="152" t="s">
        <v>494</v>
      </c>
      <c r="C12" s="94" t="n">
        <f aca="false">MATCH($C$5,CropNames,0)+4</f>
        <v>5</v>
      </c>
      <c r="D12" s="152" t="s">
        <v>495</v>
      </c>
      <c r="E12" s="38"/>
      <c r="F12" s="38"/>
      <c r="G12" s="38"/>
      <c r="J12" s="153" t="n">
        <f aca="false">IF($C$6+6&gt;DaysPerYear,$C$6+6-DaysPerYear,$C$6+6)</f>
        <v>56</v>
      </c>
      <c r="K12" s="154" t="n">
        <f aca="false">IF($C$8,INDEX(Climate!$G$5:$G$112,$J12),INDEX(Climate!$D$5:$D$112,$J12))</f>
        <v>14.31</v>
      </c>
      <c r="L12" s="154" t="n">
        <f aca="false">IF($C$8,INDEX(Climate!$H$5:$H$112,$J12),INDEX(Climate!$E$5:$E$112,$J12))</f>
        <v>5.03</v>
      </c>
      <c r="M12" s="154" t="n">
        <f aca="false">IF($C$8,INDEX(Climate!$I$5:$I$112,$J12),INDEX(Climate!$F$5:$F$112,$J12))</f>
        <v>23.44</v>
      </c>
      <c r="N12" s="154" t="n">
        <f aca="false">$C$19</f>
        <v>-12</v>
      </c>
      <c r="O12" s="154" t="n">
        <f aca="false">MIN($C$20,50)</f>
        <v>27</v>
      </c>
    </row>
    <row r="13" customFormat="false" ht="19.5" hidden="false" customHeight="true" outlineLevel="0" collapsed="false">
      <c r="A13" s="45"/>
      <c r="B13" s="160" t="s">
        <v>496</v>
      </c>
      <c r="C13" s="110" t="n">
        <f aca="false">INDEX(Crops!$D$5:$D$22,MATCH($C$5,CropNames,0))</f>
        <v>9</v>
      </c>
      <c r="D13" s="45"/>
      <c r="E13" s="45"/>
      <c r="F13" s="45"/>
      <c r="G13" s="79" t="s">
        <v>497</v>
      </c>
      <c r="J13" s="153" t="n">
        <f aca="false">IF($C$6+7&gt;DaysPerYear,$C$6+7-DaysPerYear,$C$6+7)</f>
        <v>57</v>
      </c>
      <c r="K13" s="154" t="n">
        <f aca="false">IF($C$8,INDEX(Climate!$G$5:$G$112,$J13),INDEX(Climate!$D$5:$D$112,$J13))</f>
        <v>14.16</v>
      </c>
      <c r="L13" s="154" t="n">
        <f aca="false">IF($C$8,INDEX(Climate!$H$5:$H$112,$J13),INDEX(Climate!$E$5:$E$112,$J13))</f>
        <v>5.65</v>
      </c>
      <c r="M13" s="154" t="n">
        <f aca="false">IF($C$8,INDEX(Climate!$I$5:$I$112,$J13),INDEX(Climate!$F$5:$F$112,$J13))</f>
        <v>22.84</v>
      </c>
      <c r="N13" s="154" t="n">
        <f aca="false">$C$19</f>
        <v>-12</v>
      </c>
      <c r="O13" s="154" t="n">
        <f aca="false">MIN($C$20,50)</f>
        <v>27</v>
      </c>
    </row>
    <row r="14" customFormat="false" ht="19.5" hidden="false" customHeight="true" outlineLevel="0" collapsed="false">
      <c r="A14" s="38"/>
      <c r="B14" s="161" t="s">
        <v>498</v>
      </c>
      <c r="C14" s="159" t="n">
        <f aca="false">INDEX(Crops!$E$5:$E$22,MATCH($C$5,CropNames,0))</f>
        <v>1.78</v>
      </c>
      <c r="D14" s="38"/>
      <c r="E14" s="38"/>
      <c r="F14" s="38"/>
      <c r="G14" s="76" t="s">
        <v>499</v>
      </c>
      <c r="J14" s="153" t="n">
        <f aca="false">IF($C$6+8&gt;DaysPerYear,$C$6+8-DaysPerYear,$C$6+8)</f>
        <v>58</v>
      </c>
      <c r="K14" s="154" t="n">
        <f aca="false">IF($C$8,INDEX(Climate!$G$5:$G$112,$J14),INDEX(Climate!$D$5:$D$112,$J14))</f>
        <v>14.94</v>
      </c>
      <c r="L14" s="154" t="n">
        <f aca="false">IF($C$8,INDEX(Climate!$H$5:$H$112,$J14),INDEX(Climate!$E$5:$E$112,$J14))</f>
        <v>5.69</v>
      </c>
      <c r="M14" s="154" t="n">
        <f aca="false">IF($C$8,INDEX(Climate!$I$5:$I$112,$J14),INDEX(Climate!$F$5:$F$112,$J14))</f>
        <v>23.79</v>
      </c>
      <c r="N14" s="154" t="n">
        <f aca="false">$C$19</f>
        <v>-12</v>
      </c>
      <c r="O14" s="154" t="n">
        <f aca="false">MIN($C$20,50)</f>
        <v>27</v>
      </c>
    </row>
    <row r="15" customFormat="false" ht="19.5" hidden="false" customHeight="true" outlineLevel="0" collapsed="false">
      <c r="A15" s="45"/>
      <c r="B15" s="160" t="s">
        <v>500</v>
      </c>
      <c r="C15" s="106" t="n">
        <f aca="false">INDEX(Crops!$F$5:$F$22,MATCH($C$5,CropNames,0))</f>
        <v>16.02</v>
      </c>
      <c r="D15" s="45"/>
      <c r="E15" s="45"/>
      <c r="F15" s="45"/>
      <c r="G15" s="79" t="s">
        <v>501</v>
      </c>
      <c r="J15" s="153" t="n">
        <f aca="false">IF($C$6+9&gt;DaysPerYear,$C$6+9-DaysPerYear,$C$6+9)</f>
        <v>59</v>
      </c>
      <c r="K15" s="154" t="n">
        <f aca="false">IF($C$8,INDEX(Climate!$G$5:$G$112,$J15),INDEX(Climate!$D$5:$D$112,$J15))</f>
        <v>14.08</v>
      </c>
      <c r="L15" s="154" t="n">
        <f aca="false">IF($C$8,INDEX(Climate!$H$5:$H$112,$J15),INDEX(Climate!$E$5:$E$112,$J15))</f>
        <v>5.39</v>
      </c>
      <c r="M15" s="154" t="n">
        <f aca="false">IF($C$8,INDEX(Climate!$I$5:$I$112,$J15),INDEX(Climate!$F$5:$F$112,$J15))</f>
        <v>23.15</v>
      </c>
      <c r="N15" s="154" t="n">
        <f aca="false">$C$19</f>
        <v>-12</v>
      </c>
      <c r="O15" s="154" t="n">
        <f aca="false">MIN($C$20,50)</f>
        <v>27</v>
      </c>
    </row>
    <row r="16" customFormat="false" ht="19.5" hidden="false" customHeight="true" outlineLevel="0" collapsed="false">
      <c r="A16" s="38"/>
      <c r="B16" s="161" t="s">
        <v>502</v>
      </c>
      <c r="C16" s="162" t="str">
        <f aca="false">INDEX(Crops!$G$5:$G$22,MATCH($C$5,CropNames,0))</f>
        <v>N</v>
      </c>
      <c r="D16" s="38"/>
      <c r="E16" s="38"/>
      <c r="F16" s="38"/>
      <c r="G16" s="76" t="s">
        <v>503</v>
      </c>
      <c r="J16" s="153" t="n">
        <f aca="false">IF($C$6+10&gt;DaysPerYear,$C$6+10-DaysPerYear,$C$6+10)</f>
        <v>60</v>
      </c>
      <c r="K16" s="154" t="n">
        <f aca="false">IF($C$8,INDEX(Climate!$G$5:$G$112,$J16),INDEX(Climate!$D$5:$D$112,$J16))</f>
        <v>14.65</v>
      </c>
      <c r="L16" s="154" t="n">
        <f aca="false">IF($C$8,INDEX(Climate!$H$5:$H$112,$J16),INDEX(Climate!$E$5:$E$112,$J16))</f>
        <v>5.12</v>
      </c>
      <c r="M16" s="154" t="n">
        <f aca="false">IF($C$8,INDEX(Climate!$I$5:$I$112,$J16),INDEX(Climate!$F$5:$F$112,$J16))</f>
        <v>23.96</v>
      </c>
      <c r="N16" s="154" t="n">
        <f aca="false">$C$19</f>
        <v>-12</v>
      </c>
      <c r="O16" s="154" t="n">
        <f aca="false">MIN($C$20,50)</f>
        <v>27</v>
      </c>
    </row>
    <row r="17" customFormat="false" ht="19.5" hidden="false" customHeight="true" outlineLevel="0" collapsed="false">
      <c r="A17" s="45"/>
      <c r="B17" s="160" t="s">
        <v>504</v>
      </c>
      <c r="C17" s="106" t="n">
        <f aca="false">INDEX(Crops!$H$5:$H$22,MATCH($C$5,CropNames,0))</f>
        <v>35</v>
      </c>
      <c r="D17" s="45"/>
      <c r="E17" s="45"/>
      <c r="F17" s="45"/>
      <c r="G17" s="79" t="s">
        <v>505</v>
      </c>
      <c r="J17" s="153" t="n">
        <f aca="false">IF($C$6+11&gt;DaysPerYear,$C$6+11-DaysPerYear,$C$6+11)</f>
        <v>61</v>
      </c>
      <c r="K17" s="154" t="n">
        <f aca="false">IF($C$8,INDEX(Climate!$G$5:$G$112,$J17),INDEX(Climate!$D$5:$D$112,$J17))</f>
        <v>15</v>
      </c>
      <c r="L17" s="154" t="n">
        <f aca="false">IF($C$8,INDEX(Climate!$H$5:$H$112,$J17),INDEX(Climate!$E$5:$E$112,$J17))</f>
        <v>5.93</v>
      </c>
      <c r="M17" s="154" t="n">
        <f aca="false">IF($C$8,INDEX(Climate!$I$5:$I$112,$J17),INDEX(Climate!$F$5:$F$112,$J17))</f>
        <v>24.64</v>
      </c>
      <c r="N17" s="154" t="n">
        <f aca="false">$C$19</f>
        <v>-12</v>
      </c>
      <c r="O17" s="154" t="n">
        <f aca="false">MIN($C$20,50)</f>
        <v>27</v>
      </c>
    </row>
    <row r="18" customFormat="false" ht="19.5" hidden="false" customHeight="true" outlineLevel="0" collapsed="false">
      <c r="A18" s="38"/>
      <c r="B18" s="161" t="s">
        <v>506</v>
      </c>
      <c r="C18" s="159" t="n">
        <f aca="false">INDEX(Crops!$I$5:$I$22,MATCH($C$5,CropNames,0))</f>
        <v>4.375</v>
      </c>
      <c r="D18" s="38"/>
      <c r="E18" s="38"/>
      <c r="F18" s="38"/>
      <c r="G18" s="76" t="s">
        <v>507</v>
      </c>
      <c r="J18" s="153" t="n">
        <f aca="false">IF($C$6+12&gt;DaysPerYear,$C$6+12-DaysPerYear,$C$6+12)</f>
        <v>62</v>
      </c>
      <c r="K18" s="154" t="n">
        <f aca="false">IF($C$8,INDEX(Climate!$G$5:$G$112,$J18),INDEX(Climate!$D$5:$D$112,$J18))</f>
        <v>14.59</v>
      </c>
      <c r="L18" s="154" t="n">
        <f aca="false">IF($C$8,INDEX(Climate!$H$5:$H$112,$J18),INDEX(Climate!$E$5:$E$112,$J18))</f>
        <v>5.55</v>
      </c>
      <c r="M18" s="154" t="n">
        <f aca="false">IF($C$8,INDEX(Climate!$I$5:$I$112,$J18),INDEX(Climate!$F$5:$F$112,$J18))</f>
        <v>22.89</v>
      </c>
      <c r="N18" s="154" t="n">
        <f aca="false">$C$19</f>
        <v>-12</v>
      </c>
      <c r="O18" s="154" t="n">
        <f aca="false">MIN($C$20,50)</f>
        <v>27</v>
      </c>
    </row>
    <row r="19" customFormat="false" ht="19.5" hidden="false" customHeight="true" outlineLevel="0" collapsed="false">
      <c r="A19" s="45"/>
      <c r="B19" s="160" t="s">
        <v>508</v>
      </c>
      <c r="C19" s="110" t="n">
        <f aca="false">INDEX(Crops!$K$5:$K$22,MATCH($C$5,CropNames,0))</f>
        <v>-12</v>
      </c>
      <c r="D19" s="45"/>
      <c r="E19" s="45"/>
      <c r="F19" s="45"/>
      <c r="G19" s="79" t="s">
        <v>509</v>
      </c>
      <c r="J19" s="153" t="n">
        <f aca="false">IF($C$6+13&gt;DaysPerYear,$C$6+13-DaysPerYear,$C$6+13)</f>
        <v>63</v>
      </c>
      <c r="K19" s="154" t="n">
        <f aca="false">IF($C$8,INDEX(Climate!$G$5:$G$112,$J19),INDEX(Climate!$D$5:$D$112,$J19))</f>
        <v>15.25</v>
      </c>
      <c r="L19" s="154" t="n">
        <f aca="false">IF($C$8,INDEX(Climate!$H$5:$H$112,$J19),INDEX(Climate!$E$5:$E$112,$J19))</f>
        <v>6</v>
      </c>
      <c r="M19" s="154" t="n">
        <f aca="false">IF($C$8,INDEX(Climate!$I$5:$I$112,$J19),INDEX(Climate!$F$5:$F$112,$J19))</f>
        <v>23.96</v>
      </c>
      <c r="N19" s="154" t="n">
        <f aca="false">$C$19</f>
        <v>-12</v>
      </c>
      <c r="O19" s="154" t="n">
        <f aca="false">MIN($C$20,50)</f>
        <v>27</v>
      </c>
    </row>
    <row r="20" customFormat="false" ht="19.5" hidden="false" customHeight="true" outlineLevel="0" collapsed="false">
      <c r="A20" s="38"/>
      <c r="B20" s="161" t="s">
        <v>510</v>
      </c>
      <c r="C20" s="101" t="n">
        <f aca="false">INDEX(Crops!$M$5:$M$22,MATCH($C$5,CropNames,0))</f>
        <v>27</v>
      </c>
      <c r="D20" s="38"/>
      <c r="E20" s="38"/>
      <c r="F20" s="38"/>
      <c r="G20" s="76" t="s">
        <v>511</v>
      </c>
      <c r="J20" s="153" t="n">
        <f aca="false">IF($C$6+14&gt;DaysPerYear,$C$6+14-DaysPerYear,$C$6+14)</f>
        <v>64</v>
      </c>
      <c r="K20" s="154" t="n">
        <f aca="false">IF($C$8,INDEX(Climate!$G$5:$G$112,$J20),INDEX(Climate!$D$5:$D$112,$J20))</f>
        <v>15.19</v>
      </c>
      <c r="L20" s="154" t="n">
        <f aca="false">IF($C$8,INDEX(Climate!$H$5:$H$112,$J20),INDEX(Climate!$E$5:$E$112,$J20))</f>
        <v>6.43</v>
      </c>
      <c r="M20" s="154" t="n">
        <f aca="false">IF($C$8,INDEX(Climate!$I$5:$I$112,$J20),INDEX(Climate!$F$5:$F$112,$J20))</f>
        <v>23.97</v>
      </c>
      <c r="N20" s="154" t="n">
        <f aca="false">$C$19</f>
        <v>-12</v>
      </c>
      <c r="O20" s="154" t="n">
        <f aca="false">MIN($C$20,50)</f>
        <v>27</v>
      </c>
    </row>
    <row r="21" customFormat="false" ht="19.5" hidden="false" customHeight="true" outlineLevel="0" collapsed="false">
      <c r="A21" s="45"/>
      <c r="B21" s="160" t="s">
        <v>324</v>
      </c>
      <c r="C21" s="163" t="n">
        <f aca="false">IFERROR(IF(ISBLANK(INDEX(Crops!$N$5:$N$22,MATCH($C$5,CropNames,0))),DefaultRipeMul,INDEX(Crops!$N$5:$N$22,MATCH($C$5,CropNames,0))),DefaultRipeMul)</f>
        <v>0.5</v>
      </c>
      <c r="D21" s="45"/>
      <c r="E21" s="45"/>
      <c r="F21" s="45"/>
      <c r="G21" s="79" t="s">
        <v>512</v>
      </c>
      <c r="J21" s="153" t="n">
        <f aca="false">IF($C$6+15&gt;DaysPerYear,$C$6+15-DaysPerYear,$C$6+15)</f>
        <v>65</v>
      </c>
      <c r="K21" s="154" t="n">
        <f aca="false">IF($C$8,INDEX(Climate!$G$5:$G$112,$J21),INDEX(Climate!$D$5:$D$112,$J21))</f>
        <v>14.16</v>
      </c>
      <c r="L21" s="154" t="n">
        <f aca="false">IF($C$8,INDEX(Climate!$H$5:$H$112,$J21),INDEX(Climate!$E$5:$E$112,$J21))</f>
        <v>5.79</v>
      </c>
      <c r="M21" s="154" t="n">
        <f aca="false">IF($C$8,INDEX(Climate!$I$5:$I$112,$J21),INDEX(Climate!$F$5:$F$112,$J21))</f>
        <v>22.3</v>
      </c>
      <c r="N21" s="154" t="n">
        <f aca="false">$C$19</f>
        <v>-12</v>
      </c>
      <c r="O21" s="154" t="n">
        <f aca="false">MIN($C$20,50)</f>
        <v>27</v>
      </c>
    </row>
    <row r="22" customFormat="false" ht="19.5" hidden="false" customHeight="true" outlineLevel="0" collapsed="false">
      <c r="A22" s="38"/>
      <c r="B22" s="161" t="s">
        <v>325</v>
      </c>
      <c r="C22" s="159" t="n">
        <f aca="false">IFERROR(IF(ISBLANK(INDEX(Crops!$O$5:$O$22,MATCH($C$5,CropNames,0))),DefaultStuntMul,INDEX(Crops!$O$5:$O$22,MATCH($C$5,CropNames,0))),DefaultStuntMul)</f>
        <v>0.75</v>
      </c>
      <c r="D22" s="38"/>
      <c r="E22" s="38"/>
      <c r="F22" s="38"/>
      <c r="G22" s="76" t="s">
        <v>513</v>
      </c>
      <c r="J22" s="153" t="n">
        <f aca="false">IF($C$6+16&gt;DaysPerYear,$C$6+16-DaysPerYear,$C$6+16)</f>
        <v>66</v>
      </c>
      <c r="K22" s="154" t="n">
        <f aca="false">IF($C$8,INDEX(Climate!$G$5:$G$112,$J22),INDEX(Climate!$D$5:$D$112,$J22))</f>
        <v>13.79</v>
      </c>
      <c r="L22" s="154" t="n">
        <f aca="false">IF($C$8,INDEX(Climate!$H$5:$H$112,$J22),INDEX(Climate!$E$5:$E$112,$J22))</f>
        <v>4.73</v>
      </c>
      <c r="M22" s="154" t="n">
        <f aca="false">IF($C$8,INDEX(Climate!$I$5:$I$112,$J22),INDEX(Climate!$F$5:$F$112,$J22))</f>
        <v>23</v>
      </c>
      <c r="N22" s="154" t="n">
        <f aca="false">$C$19</f>
        <v>-12</v>
      </c>
      <c r="O22" s="154" t="n">
        <f aca="false">MIN($C$20,50)</f>
        <v>27</v>
      </c>
    </row>
    <row r="23" customFormat="false" ht="15" hidden="false" customHeight="true" outlineLevel="0" collapsed="false">
      <c r="J23" s="153" t="n">
        <f aca="false">IF($C$6+17&gt;DaysPerYear,$C$6+17-DaysPerYear,$C$6+17)</f>
        <v>67</v>
      </c>
      <c r="K23" s="154" t="n">
        <f aca="false">IF($C$8,INDEX(Climate!$G$5:$G$112,$J23),INDEX(Climate!$D$5:$D$112,$J23))</f>
        <v>13.72</v>
      </c>
      <c r="L23" s="154" t="n">
        <f aca="false">IF($C$8,INDEX(Climate!$H$5:$H$112,$J23),INDEX(Climate!$E$5:$E$112,$J23))</f>
        <v>4.21</v>
      </c>
      <c r="M23" s="154" t="n">
        <f aca="false">IF($C$8,INDEX(Climate!$I$5:$I$112,$J23),INDEX(Climate!$F$5:$F$112,$J23))</f>
        <v>23.03</v>
      </c>
      <c r="N23" s="154" t="n">
        <f aca="false">$C$19</f>
        <v>-12</v>
      </c>
      <c r="O23" s="154" t="n">
        <f aca="false">MIN($C$20,50)</f>
        <v>27</v>
      </c>
    </row>
    <row r="24" customFormat="false" ht="24" hidden="false" customHeight="true" outlineLevel="0" collapsed="false">
      <c r="A24" s="5" t="s">
        <v>514</v>
      </c>
      <c r="B24" s="5"/>
      <c r="C24" s="5"/>
      <c r="D24" s="5"/>
      <c r="E24" s="5"/>
      <c r="F24" s="5"/>
      <c r="G24" s="5"/>
      <c r="J24" s="153" t="n">
        <f aca="false">IF($C$6+18&gt;DaysPerYear,$C$6+18-DaysPerYear,$C$6+18)</f>
        <v>68</v>
      </c>
      <c r="K24" s="154" t="n">
        <f aca="false">IF($C$8,INDEX(Climate!$G$5:$G$112,$J24),INDEX(Climate!$D$5:$D$112,$J24))</f>
        <v>13.29</v>
      </c>
      <c r="L24" s="154" t="n">
        <f aca="false">IF($C$8,INDEX(Climate!$H$5:$H$112,$J24),INDEX(Climate!$E$5:$E$112,$J24))</f>
        <v>3.79</v>
      </c>
      <c r="M24" s="154" t="n">
        <f aca="false">IF($C$8,INDEX(Climate!$I$5:$I$112,$J24),INDEX(Climate!$F$5:$F$112,$J24))</f>
        <v>22.52</v>
      </c>
      <c r="N24" s="154" t="n">
        <f aca="false">$C$19</f>
        <v>-12</v>
      </c>
      <c r="O24" s="154" t="n">
        <f aca="false">MIN($C$20,50)</f>
        <v>27</v>
      </c>
    </row>
    <row r="25" customFormat="false" ht="19.5" hidden="false" customHeight="true" outlineLevel="0" collapsed="false">
      <c r="A25" s="38"/>
      <c r="B25" s="161" t="s">
        <v>515</v>
      </c>
      <c r="C25" s="164" t="n">
        <f aca="false">MAX(0.01,$C$9*100/70-0.143)^0.35</f>
        <v>0.974343234548174</v>
      </c>
      <c r="D25" s="38"/>
      <c r="E25" s="38"/>
      <c r="F25" s="38"/>
      <c r="G25" s="76" t="s">
        <v>516</v>
      </c>
      <c r="J25" s="153" t="n">
        <f aca="false">IF($C$6+19&gt;DaysPerYear,$C$6+19-DaysPerYear,$C$6+19)</f>
        <v>69</v>
      </c>
      <c r="K25" s="154" t="n">
        <f aca="false">IF($C$8,INDEX(Climate!$G$5:$G$112,$J25),INDEX(Climate!$D$5:$D$112,$J25))</f>
        <v>12.38</v>
      </c>
      <c r="L25" s="154" t="n">
        <f aca="false">IF($C$8,INDEX(Climate!$H$5:$H$112,$J25),INDEX(Climate!$E$5:$E$112,$J25))</f>
        <v>3.83</v>
      </c>
      <c r="M25" s="154" t="n">
        <f aca="false">IF($C$8,INDEX(Climate!$I$5:$I$112,$J25),INDEX(Climate!$F$5:$F$112,$J25))</f>
        <v>20.12</v>
      </c>
      <c r="N25" s="154" t="n">
        <f aca="false">$C$19</f>
        <v>-12</v>
      </c>
      <c r="O25" s="154" t="n">
        <f aca="false">MIN($C$20,50)</f>
        <v>27</v>
      </c>
    </row>
    <row r="26" customFormat="false" ht="19.5" hidden="false" customHeight="true" outlineLevel="0" collapsed="false">
      <c r="A26" s="45"/>
      <c r="B26" s="160" t="s">
        <v>517</v>
      </c>
      <c r="C26" s="109" t="n">
        <f aca="false">IF($C$7&gt;75,1.1,IF($C$7&gt;50,1,IF($C$7&gt;35,0.9,IF($C$7&gt;20,0.6,IF($C$7&gt;5,0.3,0.1)))))</f>
        <v>1</v>
      </c>
      <c r="D26" s="45"/>
      <c r="E26" s="45"/>
      <c r="F26" s="45"/>
      <c r="G26" s="79" t="s">
        <v>518</v>
      </c>
      <c r="J26" s="153" t="n">
        <f aca="false">IF($C$6+20&gt;DaysPerYear,$C$6+20-DaysPerYear,$C$6+20)</f>
        <v>70</v>
      </c>
      <c r="K26" s="154" t="n">
        <f aca="false">IF($C$8,INDEX(Climate!$G$5:$G$112,$J26),INDEX(Climate!$D$5:$D$112,$J26))</f>
        <v>12.36</v>
      </c>
      <c r="L26" s="154" t="n">
        <f aca="false">IF($C$8,INDEX(Climate!$H$5:$H$112,$J26),INDEX(Climate!$E$5:$E$112,$J26))</f>
        <v>3.62</v>
      </c>
      <c r="M26" s="154" t="n">
        <f aca="false">IF($C$8,INDEX(Climate!$I$5:$I$112,$J26),INDEX(Climate!$F$5:$F$112,$J26))</f>
        <v>21.28</v>
      </c>
      <c r="N26" s="154" t="n">
        <f aca="false">$C$19</f>
        <v>-12</v>
      </c>
      <c r="O26" s="154" t="n">
        <f aca="false">MIN($C$20,50)</f>
        <v>27</v>
      </c>
    </row>
    <row r="27" customFormat="false" ht="19.5" hidden="false" customHeight="true" outlineLevel="0" collapsed="false">
      <c r="A27" s="38"/>
      <c r="B27" s="161" t="s">
        <v>519</v>
      </c>
      <c r="C27" s="164" t="n">
        <f aca="false">$C$25*$C$26</f>
        <v>0.974343234548174</v>
      </c>
      <c r="D27" s="38"/>
      <c r="E27" s="38"/>
      <c r="F27" s="38"/>
      <c r="G27" s="152" t="s">
        <v>520</v>
      </c>
      <c r="J27" s="153" t="n">
        <f aca="false">IF($C$6+21&gt;DaysPerYear,$C$6+21-DaysPerYear,$C$6+21)</f>
        <v>71</v>
      </c>
      <c r="K27" s="154" t="n">
        <f aca="false">IF($C$8,INDEX(Climate!$G$5:$G$112,$J27),INDEX(Climate!$D$5:$D$112,$J27))</f>
        <v>11.85</v>
      </c>
      <c r="L27" s="154" t="n">
        <f aca="false">IF($C$8,INDEX(Climate!$H$5:$H$112,$J27),INDEX(Climate!$E$5:$E$112,$J27))</f>
        <v>2.55</v>
      </c>
      <c r="M27" s="154" t="n">
        <f aca="false">IF($C$8,INDEX(Climate!$I$5:$I$112,$J27),INDEX(Climate!$F$5:$F$112,$J27))</f>
        <v>20.85</v>
      </c>
      <c r="N27" s="154" t="n">
        <f aca="false">$C$19</f>
        <v>-12</v>
      </c>
      <c r="O27" s="154" t="n">
        <f aca="false">MIN($C$20,50)</f>
        <v>27</v>
      </c>
    </row>
    <row r="28" customFormat="false" ht="19.5" hidden="false" customHeight="true" outlineLevel="0" collapsed="false">
      <c r="A28" s="45"/>
      <c r="B28" s="160" t="s">
        <v>521</v>
      </c>
      <c r="C28" s="165" t="n">
        <f aca="false">HoursPerDay*$C$15/MAX(1,$C$13-1)/$C$27/GrowthMul</f>
        <v>49.3255336475822</v>
      </c>
      <c r="D28" s="45"/>
      <c r="E28" s="45"/>
      <c r="F28" s="45"/>
      <c r="G28" s="158" t="s">
        <v>522</v>
      </c>
      <c r="J28" s="153" t="n">
        <f aca="false">IF($C$6+22&gt;DaysPerYear,$C$6+22-DaysPerYear,$C$6+22)</f>
        <v>72</v>
      </c>
      <c r="K28" s="154" t="n">
        <f aca="false">IF($C$8,INDEX(Climate!$G$5:$G$112,$J28),INDEX(Climate!$D$5:$D$112,$J28))</f>
        <v>11.01</v>
      </c>
      <c r="L28" s="154" t="n">
        <f aca="false">IF($C$8,INDEX(Climate!$H$5:$H$112,$J28),INDEX(Climate!$E$5:$E$112,$J28))</f>
        <v>2.84</v>
      </c>
      <c r="M28" s="154" t="n">
        <f aca="false">IF($C$8,INDEX(Climate!$I$5:$I$112,$J28),INDEX(Climate!$F$5:$F$112,$J28))</f>
        <v>19.07</v>
      </c>
      <c r="N28" s="154" t="n">
        <f aca="false">$C$19</f>
        <v>-12</v>
      </c>
      <c r="O28" s="154" t="n">
        <f aca="false">MIN($C$20,50)</f>
        <v>27</v>
      </c>
    </row>
    <row r="29" customFormat="false" ht="19.5" hidden="false" customHeight="true" outlineLevel="0" collapsed="false">
      <c r="A29" s="38"/>
      <c r="B29" s="161" t="s">
        <v>523</v>
      </c>
      <c r="C29" s="166" t="n">
        <f aca="false">$C$28*($C$13-1)</f>
        <v>394.604269180657</v>
      </c>
      <c r="D29" s="38"/>
      <c r="E29" s="38"/>
      <c r="F29" s="38"/>
      <c r="G29" s="152" t="s">
        <v>524</v>
      </c>
      <c r="J29" s="153" t="n">
        <f aca="false">IF($C$6+23&gt;DaysPerYear,$C$6+23-DaysPerYear,$C$6+23)</f>
        <v>73</v>
      </c>
      <c r="K29" s="154" t="n">
        <f aca="false">IF($C$8,INDEX(Climate!$G$5:$G$112,$J29),INDEX(Climate!$D$5:$D$112,$J29))</f>
        <v>10.83</v>
      </c>
      <c r="L29" s="154" t="n">
        <f aca="false">IF($C$8,INDEX(Climate!$H$5:$H$112,$J29),INDEX(Climate!$E$5:$E$112,$J29))</f>
        <v>1.96</v>
      </c>
      <c r="M29" s="154" t="n">
        <f aca="false">IF($C$8,INDEX(Climate!$I$5:$I$112,$J29),INDEX(Climate!$F$5:$F$112,$J29))</f>
        <v>20.35</v>
      </c>
      <c r="N29" s="154" t="n">
        <f aca="false">$C$19</f>
        <v>-12</v>
      </c>
      <c r="O29" s="154" t="n">
        <f aca="false">MIN($C$20,50)</f>
        <v>27</v>
      </c>
    </row>
    <row r="30" customFormat="false" ht="19.5" hidden="false" customHeight="true" outlineLevel="0" collapsed="false">
      <c r="A30" s="45"/>
      <c r="B30" s="160" t="s">
        <v>525</v>
      </c>
      <c r="C30" s="165" t="n">
        <f aca="false">$C$29/HoursPerDay</f>
        <v>16.441844549194</v>
      </c>
      <c r="D30" s="45"/>
      <c r="E30" s="45"/>
      <c r="F30" s="45"/>
      <c r="G30" s="45"/>
      <c r="J30" s="153" t="n">
        <f aca="false">IF($C$6+24&gt;DaysPerYear,$C$6+24-DaysPerYear,$C$6+24)</f>
        <v>74</v>
      </c>
      <c r="K30" s="154" t="n">
        <f aca="false">IF($C$8,INDEX(Climate!$G$5:$G$112,$J30),INDEX(Climate!$D$5:$D$112,$J30))</f>
        <v>10.5</v>
      </c>
      <c r="L30" s="154" t="n">
        <f aca="false">IF($C$8,INDEX(Climate!$H$5:$H$112,$J30),INDEX(Climate!$E$5:$E$112,$J30))</f>
        <v>2.03</v>
      </c>
      <c r="M30" s="154" t="n">
        <f aca="false">IF($C$8,INDEX(Climate!$I$5:$I$112,$J30),INDEX(Climate!$F$5:$F$112,$J30))</f>
        <v>19.2</v>
      </c>
      <c r="N30" s="154" t="n">
        <f aca="false">$C$19</f>
        <v>-12</v>
      </c>
      <c r="O30" s="154" t="n">
        <f aca="false">MIN($C$20,50)</f>
        <v>27</v>
      </c>
    </row>
    <row r="31" customFormat="false" ht="15" hidden="false" customHeight="true" outlineLevel="0" collapsed="false">
      <c r="J31" s="153" t="n">
        <f aca="false">IF($C$6+25&gt;DaysPerYear,$C$6+25-DaysPerYear,$C$6+25)</f>
        <v>75</v>
      </c>
      <c r="K31" s="154" t="n">
        <f aca="false">IF($C$8,INDEX(Climate!$G$5:$G$112,$J31),INDEX(Climate!$D$5:$D$112,$J31))</f>
        <v>8.35</v>
      </c>
      <c r="L31" s="154" t="n">
        <f aca="false">IF($C$8,INDEX(Climate!$H$5:$H$112,$J31),INDEX(Climate!$E$5:$E$112,$J31))</f>
        <v>-0.84</v>
      </c>
      <c r="M31" s="154" t="n">
        <f aca="false">IF($C$8,INDEX(Climate!$I$5:$I$112,$J31),INDEX(Climate!$F$5:$F$112,$J31))</f>
        <v>17.13</v>
      </c>
      <c r="N31" s="154" t="n">
        <f aca="false">$C$19</f>
        <v>-12</v>
      </c>
      <c r="O31" s="154" t="n">
        <f aca="false">MIN($C$20,50)</f>
        <v>27</v>
      </c>
    </row>
    <row r="32" customFormat="false" ht="24" hidden="false" customHeight="true" outlineLevel="0" collapsed="false">
      <c r="A32" s="5" t="s">
        <v>526</v>
      </c>
      <c r="B32" s="5"/>
      <c r="C32" s="5"/>
      <c r="D32" s="5"/>
      <c r="E32" s="5"/>
      <c r="F32" s="5"/>
      <c r="G32" s="5"/>
      <c r="J32" s="153" t="n">
        <f aca="false">IF($C$6+26&gt;DaysPerYear,$C$6+26-DaysPerYear,$C$6+26)</f>
        <v>76</v>
      </c>
      <c r="K32" s="154" t="n">
        <f aca="false">IF($C$8,INDEX(Climate!$G$5:$G$112,$J32),INDEX(Climate!$D$5:$D$112,$J32))</f>
        <v>8.71</v>
      </c>
      <c r="L32" s="154" t="n">
        <f aca="false">IF($C$8,INDEX(Climate!$H$5:$H$112,$J32),INDEX(Climate!$E$5:$E$112,$J32))</f>
        <v>0.63</v>
      </c>
      <c r="M32" s="154" t="n">
        <f aca="false">IF($C$8,INDEX(Climate!$I$5:$I$112,$J32),INDEX(Climate!$F$5:$F$112,$J32))</f>
        <v>16.69</v>
      </c>
      <c r="N32" s="154" t="n">
        <f aca="false">$C$19</f>
        <v>-12</v>
      </c>
      <c r="O32" s="154" t="n">
        <f aca="false">MIN($C$20,50)</f>
        <v>27</v>
      </c>
    </row>
    <row r="33" customFormat="false" ht="19.5" hidden="false" customHeight="true" outlineLevel="0" collapsed="false">
      <c r="A33" s="38"/>
      <c r="B33" s="161" t="s">
        <v>527</v>
      </c>
      <c r="C33" s="94" t="str">
        <f aca="false">$C$6&amp;" → "&amp;($C$6+CEILING($C$30,1))</f>
        <v>50 → 67</v>
      </c>
      <c r="D33" s="38"/>
      <c r="E33" s="38"/>
      <c r="F33" s="38"/>
      <c r="G33" s="152" t="s">
        <v>528</v>
      </c>
      <c r="J33" s="153" t="n">
        <f aca="false">IF($C$6+27&gt;DaysPerYear,$C$6+27-DaysPerYear,$C$6+27)</f>
        <v>77</v>
      </c>
      <c r="K33" s="154" t="n">
        <f aca="false">IF($C$8,INDEX(Climate!$G$5:$G$112,$J33),INDEX(Climate!$D$5:$D$112,$J33))</f>
        <v>7.46</v>
      </c>
      <c r="L33" s="154" t="n">
        <f aca="false">IF($C$8,INDEX(Climate!$H$5:$H$112,$J33),INDEX(Climate!$E$5:$E$112,$J33))</f>
        <v>-0.6</v>
      </c>
      <c r="M33" s="154" t="n">
        <f aca="false">IF($C$8,INDEX(Climate!$I$5:$I$112,$J33),INDEX(Climate!$F$5:$F$112,$J33))</f>
        <v>15.77</v>
      </c>
      <c r="N33" s="154" t="n">
        <f aca="false">$C$19</f>
        <v>-12</v>
      </c>
      <c r="O33" s="154" t="n">
        <f aca="false">MIN($C$20,50)</f>
        <v>27</v>
      </c>
    </row>
    <row r="34" customFormat="false" ht="19.5" hidden="false" customHeight="true" outlineLevel="0" collapsed="false">
      <c r="A34" s="45"/>
      <c r="B34" s="160" t="s">
        <v>529</v>
      </c>
      <c r="C34" s="165" t="n">
        <f aca="true">IF($C$8,MIN(OFFSET(Climate!$H$5,$C$6-1,0,MIN(ClimateRows-$C$6+1,CEILING($C$30,1)+1),1)),MIN(OFFSET(Climate!$E$5,$C$6-1,0,MIN(ClimateRows-$C$6+1,CEILING($C$30,1)+1),1)))</f>
        <v>4.21</v>
      </c>
      <c r="D34" s="45"/>
      <c r="E34" s="45"/>
      <c r="F34" s="45"/>
      <c r="G34" s="158" t="s">
        <v>530</v>
      </c>
      <c r="J34" s="153" t="n">
        <f aca="false">IF($C$6+28&gt;DaysPerYear,$C$6+28-DaysPerYear,$C$6+28)</f>
        <v>78</v>
      </c>
      <c r="K34" s="154" t="n">
        <f aca="false">IF($C$8,INDEX(Climate!$G$5:$G$112,$J34),INDEX(Climate!$D$5:$D$112,$J34))</f>
        <v>5.84</v>
      </c>
      <c r="L34" s="154" t="n">
        <f aca="false">IF($C$8,INDEX(Climate!$H$5:$H$112,$J34),INDEX(Climate!$E$5:$E$112,$J34))</f>
        <v>-1.85</v>
      </c>
      <c r="M34" s="154" t="n">
        <f aca="false">IF($C$8,INDEX(Climate!$I$5:$I$112,$J34),INDEX(Climate!$F$5:$F$112,$J34))</f>
        <v>14.08</v>
      </c>
      <c r="N34" s="154" t="n">
        <f aca="false">$C$19</f>
        <v>-12</v>
      </c>
      <c r="O34" s="154" t="n">
        <f aca="false">MIN($C$20,50)</f>
        <v>27</v>
      </c>
    </row>
    <row r="35" customFormat="false" ht="19.5" hidden="false" customHeight="true" outlineLevel="0" collapsed="false">
      <c r="A35" s="38"/>
      <c r="B35" s="161" t="s">
        <v>531</v>
      </c>
      <c r="C35" s="166" t="n">
        <f aca="true">IF($C$8,MAX(OFFSET(Climate!$I$5,$C$6-1,0,MIN(ClimateRows-$C$6+1,CEILING($C$30,1)+1),1)),MAX(OFFSET(Climate!$F$5,$C$6-1,0,MIN(ClimateRows-$C$6+1,CEILING($C$30,1)+1),1)))</f>
        <v>24.64</v>
      </c>
      <c r="D35" s="38"/>
      <c r="E35" s="38"/>
      <c r="F35" s="38"/>
      <c r="G35" s="38"/>
      <c r="J35" s="153" t="n">
        <f aca="false">IF($C$6+29&gt;DaysPerYear,$C$6+29-DaysPerYear,$C$6+29)</f>
        <v>79</v>
      </c>
      <c r="K35" s="154" t="n">
        <f aca="false">IF($C$8,INDEX(Climate!$G$5:$G$112,$J35),INDEX(Climate!$D$5:$D$112,$J35))</f>
        <v>4.72</v>
      </c>
      <c r="L35" s="154" t="n">
        <f aca="false">IF($C$8,INDEX(Climate!$H$5:$H$112,$J35),INDEX(Climate!$E$5:$E$112,$J35))</f>
        <v>-4.02</v>
      </c>
      <c r="M35" s="154" t="n">
        <f aca="false">IF($C$8,INDEX(Climate!$I$5:$I$112,$J35),INDEX(Climate!$F$5:$F$112,$J35))</f>
        <v>13.81</v>
      </c>
      <c r="N35" s="154" t="n">
        <f aca="false">$C$19</f>
        <v>-12</v>
      </c>
      <c r="O35" s="154" t="n">
        <f aca="false">MIN($C$20,50)</f>
        <v>27</v>
      </c>
    </row>
    <row r="36" customFormat="false" ht="19.5" hidden="false" customHeight="true" outlineLevel="0" collapsed="false">
      <c r="A36" s="45"/>
      <c r="B36" s="160" t="s">
        <v>532</v>
      </c>
      <c r="C36" s="165" t="n">
        <f aca="true">IF($C$8,AVERAGE(OFFSET(Climate!$G$5,$C$6-1,0,MIN(ClimateRows-$C$6+1,CEILING($C$30,1)+1),1)),AVERAGE(OFFSET(Climate!$D$5,$C$6-1,0,MIN(ClimateRows-$C$6+1,CEILING($C$30,1)+1),1)))</f>
        <v>14.4227777777778</v>
      </c>
      <c r="D36" s="45"/>
      <c r="E36" s="45"/>
      <c r="F36" s="45"/>
      <c r="G36" s="158" t="s">
        <v>533</v>
      </c>
    </row>
    <row r="38" customFormat="false" ht="24" hidden="false" customHeight="true" outlineLevel="0" collapsed="false">
      <c r="A38" s="5" t="s">
        <v>534</v>
      </c>
      <c r="B38" s="5"/>
      <c r="C38" s="5"/>
      <c r="D38" s="5"/>
      <c r="E38" s="5"/>
      <c r="F38" s="5"/>
      <c r="G38" s="5"/>
    </row>
    <row r="39" customFormat="false" ht="19.5" hidden="false" customHeight="true" outlineLevel="0" collapsed="false">
      <c r="A39" s="38"/>
      <c r="B39" s="161" t="s">
        <v>535</v>
      </c>
      <c r="C39" s="94" t="str">
        <f aca="false">IF($C$34&lt;$C$19,"YES. Stunt","no")</f>
        <v>no</v>
      </c>
      <c r="D39" s="38"/>
      <c r="E39" s="38"/>
      <c r="F39" s="38"/>
      <c r="G39" s="152" t="s">
        <v>536</v>
      </c>
    </row>
    <row r="40" customFormat="false" ht="19.5" hidden="false" customHeight="true" outlineLevel="0" collapsed="false">
      <c r="A40" s="45"/>
      <c r="B40" s="160" t="s">
        <v>537</v>
      </c>
      <c r="C40" s="103" t="str">
        <f aca="false">IF($C$35&gt;$C$20,"YES. Stunt","no")</f>
        <v>no</v>
      </c>
      <c r="D40" s="45"/>
      <c r="E40" s="45"/>
      <c r="F40" s="45"/>
      <c r="G40" s="158" t="s">
        <v>538</v>
      </c>
    </row>
    <row r="41" customFormat="false" ht="19.5" hidden="false" customHeight="true" outlineLevel="0" collapsed="false">
      <c r="A41" s="38"/>
      <c r="B41" s="161" t="s">
        <v>539</v>
      </c>
      <c r="C41" s="94" t="str">
        <f aca="false">IF($C$36&lt;=0,"STALLS. Avg ≤ 0","grows")</f>
        <v>grows</v>
      </c>
      <c r="D41" s="38"/>
      <c r="E41" s="38"/>
      <c r="F41" s="38"/>
      <c r="G41" s="152" t="s">
        <v>540</v>
      </c>
    </row>
    <row r="43" customFormat="false" ht="24" hidden="false" customHeight="true" outlineLevel="0" collapsed="false">
      <c r="A43" s="5" t="s">
        <v>541</v>
      </c>
      <c r="B43" s="5"/>
      <c r="C43" s="5"/>
      <c r="D43" s="5"/>
      <c r="E43" s="5"/>
      <c r="F43" s="5"/>
      <c r="G43" s="5"/>
    </row>
    <row r="44" customFormat="false" ht="19.5" hidden="false" customHeight="true" outlineLevel="0" collapsed="false">
      <c r="A44" s="38"/>
      <c r="B44" s="161" t="s">
        <v>542</v>
      </c>
      <c r="C44" s="100" t="n">
        <f aca="false">MAX(0,MIN(1,1+($C$36-TempThresh)*TempLoss))</f>
        <v>1</v>
      </c>
      <c r="D44" s="38"/>
      <c r="E44" s="38"/>
      <c r="F44" s="38"/>
      <c r="G44" s="152" t="s">
        <v>543</v>
      </c>
    </row>
    <row r="45" customFormat="false" ht="19.5" hidden="false" customHeight="true" outlineLevel="0" collapsed="false">
      <c r="A45" s="45"/>
      <c r="B45" s="160" t="s">
        <v>544</v>
      </c>
      <c r="C45" s="165" t="n">
        <f aca="false">IF($C$44&lt;=0,"never",$C$30/$C$44)</f>
        <v>16.441844549194</v>
      </c>
      <c r="D45" s="45"/>
      <c r="E45" s="45"/>
      <c r="F45" s="45"/>
      <c r="G45" s="158" t="s">
        <v>545</v>
      </c>
    </row>
    <row r="46" customFormat="false" ht="19.5" hidden="false" customHeight="true" outlineLevel="0" collapsed="false">
      <c r="A46" s="38"/>
      <c r="B46" s="161" t="s">
        <v>546</v>
      </c>
      <c r="C46" s="94" t="n">
        <f aca="false">IFERROR(IF(ISNUMBER($C$45),$C$6+ROUND($C$45,0),"never"),"never")</f>
        <v>66</v>
      </c>
      <c r="D46" s="38"/>
      <c r="E46" s="38"/>
      <c r="F46" s="38"/>
      <c r="G46" s="152" t="s">
        <v>547</v>
      </c>
    </row>
    <row r="48" customFormat="false" ht="24" hidden="false" customHeight="true" outlineLevel="0" collapsed="false">
      <c r="A48" s="5" t="s">
        <v>548</v>
      </c>
      <c r="B48" s="5"/>
      <c r="C48" s="5"/>
      <c r="D48" s="5"/>
      <c r="E48" s="5"/>
      <c r="F48" s="5"/>
      <c r="G48" s="5"/>
    </row>
    <row r="49" customFormat="false" ht="31.5" hidden="false" customHeight="true" outlineLevel="0" collapsed="false">
      <c r="B49" s="167" t="s">
        <v>549</v>
      </c>
      <c r="C49" s="168" t="str">
        <f aca="false">IF($C$41="STALLS. Avg ≤ 0","STALLS",IF(AND($C$39="no",$C$40="no"),"HEALTHY",IF($C$39&lt;&gt;"no","DAMAGED (cold)","DAMAGED (heat)")))</f>
        <v>HEALTHY</v>
      </c>
      <c r="D49" s="169"/>
    </row>
    <row r="50" customFormat="false" ht="24" hidden="false" customHeight="true" outlineLevel="0" collapsed="false">
      <c r="B50" s="167" t="s">
        <v>550</v>
      </c>
      <c r="C50" s="170" t="n">
        <f aca="false">IF($C$49="HEALTHY",1,IF($C$49="STALLS",0,$C$22))</f>
        <v>1</v>
      </c>
    </row>
    <row r="52" customFormat="false" ht="15" hidden="false" customHeight="true" outlineLevel="0" collapsed="false">
      <c r="A52" s="171" t="s">
        <v>551</v>
      </c>
      <c r="B52" s="171"/>
      <c r="C52" s="171"/>
      <c r="D52" s="171"/>
      <c r="E52" s="171"/>
      <c r="F52" s="171"/>
      <c r="G52" s="171"/>
    </row>
    <row r="53" customFormat="false" ht="15" hidden="false" customHeight="true" outlineLevel="0" collapsed="false">
      <c r="A53" s="171" t="s">
        <v>552</v>
      </c>
      <c r="B53" s="171"/>
      <c r="C53" s="171"/>
      <c r="D53" s="171"/>
      <c r="E53" s="171"/>
      <c r="F53" s="171"/>
      <c r="G53" s="171"/>
    </row>
    <row r="54" customFormat="false" ht="15" hidden="false" customHeight="true" outlineLevel="0" collapsed="false">
      <c r="A54" s="171" t="s">
        <v>553</v>
      </c>
      <c r="B54" s="171"/>
      <c r="C54" s="171"/>
      <c r="D54" s="171"/>
      <c r="E54" s="171"/>
      <c r="F54" s="171"/>
      <c r="G54" s="171"/>
    </row>
  </sheetData>
  <mergeCells count="12">
    <mergeCell ref="A1:G1"/>
    <mergeCell ref="A2:G2"/>
    <mergeCell ref="A4:G4"/>
    <mergeCell ref="A11:G11"/>
    <mergeCell ref="A24:G24"/>
    <mergeCell ref="A32:G32"/>
    <mergeCell ref="A38:G38"/>
    <mergeCell ref="A43:G43"/>
    <mergeCell ref="A48:G48"/>
    <mergeCell ref="A52:G52"/>
    <mergeCell ref="A53:G53"/>
    <mergeCell ref="A54:G54"/>
  </mergeCells>
  <conditionalFormatting sqref="C49">
    <cfRule type="expression" priority="2" aboveAverage="0" equalAverage="0" bottom="0" percent="0" rank="0" text="" dxfId="6">
      <formula>$C$49="HEALTHY"</formula>
    </cfRule>
    <cfRule type="expression" priority="3" aboveAverage="0" equalAverage="0" bottom="0" percent="0" rank="0" text="" dxfId="7">
      <formula>LEFT($C$49,7)="DAMAGED"</formula>
    </cfRule>
    <cfRule type="expression" priority="4" aboveAverage="0" equalAverage="0" bottom="0" percent="0" rank="0" text="" dxfId="5">
      <formula>$C$49="STALLS"</formula>
    </cfRule>
  </conditionalFormatting>
  <dataValidations count="3">
    <dataValidation allowBlank="false" errorStyle="stop" operator="between" showDropDown="false" showErrorMessage="false" showInputMessage="false" sqref="C5" type="list">
      <formula1>CropNames</formula1>
      <formula2>0</formula2>
    </dataValidation>
    <dataValidation allowBlank="false" errorStyle="stop" operator="between" showDropDown="false" showErrorMessage="false" showInputMessage="false" sqref="C6" type="decimal">
      <formula1>1</formula1>
      <formula2>108</formula2>
    </dataValidation>
    <dataValidation allowBlank="false" errorStyle="stop" operator="between" showDropDown="false" showErrorMessage="false" showInputMessage="false" sqref="C8" type="list">
      <formula1>"TRUE,FALSE"</formula1>
      <formula2>0</formula2>
    </dataValidation>
  </dataValidation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C4749"/>
    <pageSetUpPr fitToPage="true"/>
  </sheetPr>
  <dimension ref="A1:U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3" min="3" style="1" width="24"/>
    <col collapsed="false" customWidth="true" hidden="false" outlineLevel="0" max="4" min="4" style="1" width="14"/>
    <col collapsed="false" customWidth="true" hidden="false" outlineLevel="0" max="5" min="5" style="1" width="8"/>
    <col collapsed="false" customWidth="true" hidden="false" outlineLevel="0" max="6" min="6" style="1" width="14"/>
    <col collapsed="false" customWidth="true" hidden="false" outlineLevel="0" max="7" min="7" style="1" width="10"/>
    <col collapsed="false" customWidth="true" hidden="false" outlineLevel="0" max="8" min="8" style="1" width="14"/>
    <col collapsed="false" customWidth="true" hidden="false" outlineLevel="0" max="12" min="9" style="1" width="12"/>
    <col collapsed="false" customWidth="true" hidden="false" outlineLevel="0" max="13" min="13" style="1" width="14"/>
    <col collapsed="false" customWidth="true" hidden="false" outlineLevel="0" max="15" min="14" style="1" width="8"/>
    <col collapsed="false" customWidth="true" hidden="false" outlineLevel="0" max="16" min="16" style="1" width="30"/>
    <col collapsed="false" customWidth="true" hidden="false" outlineLevel="0" max="18" min="18" style="1" width="11"/>
    <col collapsed="false" customWidth="true" hidden="false" outlineLevel="0" max="19" min="19" style="1" width="6"/>
    <col collapsed="false" customWidth="true" hidden="false" outlineLevel="0" max="20" min="20" style="1" width="14"/>
    <col collapsed="false" customWidth="true" hidden="false" outlineLevel="0" max="21" min="21" style="1" width="10"/>
  </cols>
  <sheetData>
    <row r="1" customFormat="false" ht="36" hidden="false" customHeight="true" outlineLevel="0" collapsed="false">
      <c r="A1" s="2" t="s">
        <v>554</v>
      </c>
      <c r="B1" s="2"/>
      <c r="C1" s="2"/>
      <c r="D1" s="2"/>
      <c r="E1" s="2"/>
      <c r="F1" s="2"/>
      <c r="G1" s="2"/>
      <c r="H1" s="2"/>
      <c r="I1" s="2"/>
      <c r="J1" s="2"/>
      <c r="K1" s="2"/>
      <c r="L1" s="2"/>
      <c r="M1" s="2"/>
      <c r="N1" s="2"/>
      <c r="O1" s="2"/>
      <c r="P1" s="2"/>
    </row>
    <row r="2" customFormat="false" ht="18" hidden="false" customHeight="true" outlineLevel="0" collapsed="false">
      <c r="A2" s="3" t="s">
        <v>555</v>
      </c>
      <c r="B2" s="3"/>
      <c r="C2" s="3"/>
      <c r="D2" s="3"/>
      <c r="E2" s="3"/>
      <c r="F2" s="3"/>
      <c r="G2" s="3"/>
      <c r="H2" s="3"/>
      <c r="I2" s="3"/>
      <c r="J2" s="3"/>
      <c r="K2" s="3"/>
      <c r="L2" s="3"/>
      <c r="M2" s="3"/>
      <c r="N2" s="3"/>
      <c r="O2" s="3"/>
      <c r="P2" s="3"/>
    </row>
    <row r="3" customFormat="false" ht="3.75" hidden="false" customHeight="true" outlineLevel="0" collapsed="false">
      <c r="A3" s="172" t="s">
        <v>556</v>
      </c>
      <c r="B3" s="172"/>
      <c r="C3" s="172"/>
      <c r="D3" s="172"/>
      <c r="E3" s="172"/>
      <c r="F3" s="172"/>
      <c r="G3" s="172"/>
      <c r="H3" s="172"/>
      <c r="I3" s="172"/>
      <c r="J3" s="172"/>
      <c r="K3" s="172"/>
      <c r="L3" s="172"/>
      <c r="M3" s="172"/>
      <c r="N3" s="172"/>
      <c r="O3" s="172"/>
      <c r="P3" s="172"/>
    </row>
    <row r="4" customFormat="false" ht="25.5" hidden="false" customHeight="true" outlineLevel="0" collapsed="false">
      <c r="A4" s="63"/>
      <c r="B4" s="173" t="s">
        <v>83</v>
      </c>
      <c r="C4" s="174" t="str">
        <f aca="false">CurrentDay&amp;" ("&amp;MOD(CurrentDay-1,DaysPerMonth)+1&amp;" "&amp;CHOOSE(INT((CurrentDay-1)/DaysPerMonth)+1,"Jan","Feb","Mar","Apr","May","Jun","Jul","Aug","Sep","Oct","Nov","Dec")&amp;")"</f>
        <v>50 (5 Jun)</v>
      </c>
      <c r="D4" s="175" t="s">
        <v>557</v>
      </c>
      <c r="E4" s="175"/>
      <c r="F4" s="175"/>
      <c r="G4" s="175"/>
      <c r="H4" s="63"/>
      <c r="I4" s="63"/>
      <c r="J4" s="63"/>
      <c r="K4" s="63"/>
      <c r="L4" s="63"/>
      <c r="M4" s="63"/>
      <c r="N4" s="63"/>
      <c r="O4" s="63"/>
      <c r="P4" s="63"/>
    </row>
    <row r="5" customFormat="false" ht="24" hidden="false" customHeight="true" outlineLevel="0" collapsed="false">
      <c r="T5" s="5" t="s">
        <v>558</v>
      </c>
      <c r="U5" s="5"/>
    </row>
    <row r="6" customFormat="false" ht="24" hidden="false" customHeight="true" outlineLevel="0" collapsed="false">
      <c r="B6" s="37" t="s">
        <v>59</v>
      </c>
      <c r="C6" s="37" t="s">
        <v>559</v>
      </c>
      <c r="D6" s="37" t="s">
        <v>64</v>
      </c>
      <c r="E6" s="37" t="s">
        <v>560</v>
      </c>
      <c r="F6" s="37" t="s">
        <v>90</v>
      </c>
      <c r="G6" s="37" t="s">
        <v>561</v>
      </c>
      <c r="H6" s="37" t="s">
        <v>562</v>
      </c>
      <c r="I6" s="37" t="s">
        <v>563</v>
      </c>
      <c r="J6" s="37" t="s">
        <v>564</v>
      </c>
      <c r="K6" s="37" t="s">
        <v>565</v>
      </c>
      <c r="L6" s="37" t="s">
        <v>566</v>
      </c>
      <c r="M6" s="37" t="s">
        <v>567</v>
      </c>
      <c r="N6" s="37" t="s">
        <v>568</v>
      </c>
      <c r="O6" s="37" t="s">
        <v>309</v>
      </c>
      <c r="P6" s="37" t="s">
        <v>328</v>
      </c>
      <c r="T6" s="176" t="s">
        <v>569</v>
      </c>
      <c r="U6" s="177" t="n">
        <f aca="false">COUNTIF(Plots!$M$7:$M$18,"growing")</f>
        <v>1</v>
      </c>
    </row>
    <row r="7" customFormat="false" ht="24" hidden="false" customHeight="true" outlineLevel="0" collapsed="false">
      <c r="A7" s="38"/>
      <c r="B7" s="94" t="s">
        <v>60</v>
      </c>
      <c r="C7" s="178"/>
      <c r="D7" s="179" t="n">
        <v>65</v>
      </c>
      <c r="E7" s="157" t="b">
        <f aca="false">FALSE()</f>
        <v>0</v>
      </c>
      <c r="F7" s="151" t="s">
        <v>101</v>
      </c>
      <c r="G7" s="179" t="n">
        <v>50</v>
      </c>
      <c r="H7" s="180" t="str">
        <f aca="false">IF(ISBLANK($G7),"",MOD($G7-1,DaysPerMonth)+1&amp;" "&amp;CHOOSE(INT(($G7-1)/DaysPerMonth)+1,"Jan","Feb","Mar","Apr","May","Jun","Jul","Aug","Sep","Oct","Nov","Dec"))</f>
        <v>5 Jun</v>
      </c>
      <c r="I7" s="181"/>
      <c r="J7" s="93" t="n">
        <f aca="false">IF(ISBLANK($G7),"",CurrentDay-$G7)</f>
        <v>0</v>
      </c>
      <c r="K7" s="93" t="n">
        <f aca="false">IF(OR(ISBLANK($F7),ISBLANK($G7)),"",$G7+CEILING(INDEX(Crops!$F$5:$F$22,MATCH($F7,CropNames,0))/0.974,1))</f>
        <v>67</v>
      </c>
      <c r="L7" s="93" t="n">
        <f aca="false">IF(OR(ISBLANK($F7),ISBLANK($G7)),"",$K7-CurrentDay)</f>
        <v>17</v>
      </c>
      <c r="M7" s="94" t="str">
        <f aca="false">IF(ISBLANK($F7),"empty",IF(ISBLANK($G7),"unplanted",IF($L7&lt;=0,"READY",IF($L7&lt;=3,"ripening","growing"))))</f>
        <v>growing</v>
      </c>
      <c r="N7" s="182" t="str">
        <f aca="true">IF(OR(ISBLANK($G7),ISBLANK($F7)),"",IF(MIN(OFFSET(Climate!$E$5,$G7-1,0,MIN($J7+1,ClimateRows-$G7+1),1))&lt;INDEX(Crops!$K$5:$K$22,MATCH($F7,CropNames,0)),"!",""))</f>
        <v/>
      </c>
      <c r="O7" s="182" t="str">
        <f aca="true">IF(OR(ISBLANK($G7),ISBLANK($F7)),"",IF(MAX(OFFSET(Climate!$F$5,$G7-1,0,MIN($J7+1,ClimateRows-$G7+1),1))&gt;INDEX(Crops!$M$5:$M$22,MATCH($F7,CropNames,0)),"!",""))</f>
        <v/>
      </c>
      <c r="P7" s="178"/>
      <c r="R7" s="130" t="s">
        <v>567</v>
      </c>
      <c r="S7" s="130" t="s">
        <v>570</v>
      </c>
      <c r="T7" s="183" t="s">
        <v>571</v>
      </c>
      <c r="U7" s="184" t="n">
        <f aca="false">COUNTIF(Plots!$M$7:$M$18,"ripening")</f>
        <v>0</v>
      </c>
    </row>
    <row r="8" customFormat="false" ht="24" hidden="false" customHeight="true" outlineLevel="0" collapsed="false">
      <c r="A8" s="45"/>
      <c r="B8" s="103" t="s">
        <v>572</v>
      </c>
      <c r="C8" s="178"/>
      <c r="D8" s="181"/>
      <c r="E8" s="157" t="b">
        <f aca="false">FALSE()</f>
        <v>0</v>
      </c>
      <c r="F8" s="185"/>
      <c r="G8" s="181"/>
      <c r="H8" s="156" t="str">
        <f aca="false">IF(ISBLANK($G8),"",MOD($G8-1,DaysPerMonth)+1&amp;" "&amp;CHOOSE(INT(($G8-1)/DaysPerMonth)+1,"Jan","Feb","Mar","Apr","May","Jun","Jul","Aug","Sep","Oct","Nov","Dec"))</f>
        <v/>
      </c>
      <c r="I8" s="181"/>
      <c r="J8" s="102" t="str">
        <f aca="false">IF(ISBLANK($G8),"",CurrentDay-$G8)</f>
        <v/>
      </c>
      <c r="K8" s="102" t="str">
        <f aca="false">IF(OR(ISBLANK($F8),ISBLANK($G8)),"",$G8+CEILING(INDEX(Crops!$F$5:$F$22,MATCH($F8,CropNames,0))/0.974,1))</f>
        <v/>
      </c>
      <c r="L8" s="102" t="str">
        <f aca="false">IF(OR(ISBLANK($F8),ISBLANK($G8)),"",$K8-CurrentDay)</f>
        <v/>
      </c>
      <c r="M8" s="103" t="str">
        <f aca="false">IF(ISBLANK($F8),"empty",IF(ISBLANK($G8),"unplanted",IF($L8&lt;=0,"READY",IF($L8&lt;=3,"ripening","growing"))))</f>
        <v>empty</v>
      </c>
      <c r="N8" s="186" t="str">
        <f aca="true">IF(OR(ISBLANK($G8),ISBLANK($F8)),"",IF(MIN(OFFSET(Climate!$E$5,$G8-1,0,MIN($J8+1,ClimateRows-$G8+1),1))&lt;INDEX(Crops!$K$5:$K$22,MATCH($F8,CropNames,0)),"!",""))</f>
        <v/>
      </c>
      <c r="O8" s="186" t="str">
        <f aca="true">IF(OR(ISBLANK($G8),ISBLANK($F8)),"",IF(MAX(OFFSET(Climate!$F$5,$G8-1,0,MIN($J8+1,ClimateRows-$G8+1),1))&gt;INDEX(Crops!$M$5:$M$22,MATCH($F8,CropNames,0)),"!",""))</f>
        <v/>
      </c>
      <c r="P8" s="178"/>
      <c r="R8" s="130" t="s">
        <v>569</v>
      </c>
      <c r="S8" s="130" t="n">
        <f aca="false">COUNTIF($M$7:$M$18,"growing")</f>
        <v>1</v>
      </c>
      <c r="T8" s="176" t="s">
        <v>573</v>
      </c>
      <c r="U8" s="177" t="n">
        <f aca="false">COUNTIF(Plots!$M$7:$M$18,"READY")</f>
        <v>0</v>
      </c>
    </row>
    <row r="9" customFormat="false" ht="24" hidden="false" customHeight="true" outlineLevel="0" collapsed="false">
      <c r="A9" s="38"/>
      <c r="B9" s="94" t="s">
        <v>574</v>
      </c>
      <c r="C9" s="178"/>
      <c r="D9" s="181"/>
      <c r="E9" s="157" t="b">
        <f aca="false">FALSE()</f>
        <v>0</v>
      </c>
      <c r="F9" s="185"/>
      <c r="G9" s="181"/>
      <c r="H9" s="180" t="str">
        <f aca="false">IF(ISBLANK($G9),"",MOD($G9-1,DaysPerMonth)+1&amp;" "&amp;CHOOSE(INT(($G9-1)/DaysPerMonth)+1,"Jan","Feb","Mar","Apr","May","Jun","Jul","Aug","Sep","Oct","Nov","Dec"))</f>
        <v/>
      </c>
      <c r="I9" s="181"/>
      <c r="J9" s="93" t="str">
        <f aca="false">IF(ISBLANK($G9),"",CurrentDay-$G9)</f>
        <v/>
      </c>
      <c r="K9" s="93" t="str">
        <f aca="false">IF(OR(ISBLANK($F9),ISBLANK($G9)),"",$G9+CEILING(INDEX(Crops!$F$5:$F$22,MATCH($F9,CropNames,0))/0.974,1))</f>
        <v/>
      </c>
      <c r="L9" s="93" t="str">
        <f aca="false">IF(OR(ISBLANK($F9),ISBLANK($G9)),"",$K9-CurrentDay)</f>
        <v/>
      </c>
      <c r="M9" s="94" t="str">
        <f aca="false">IF(ISBLANK($F9),"empty",IF(ISBLANK($G9),"unplanted",IF($L9&lt;=0,"READY",IF($L9&lt;=3,"ripening","growing"))))</f>
        <v>empty</v>
      </c>
      <c r="N9" s="182" t="str">
        <f aca="true">IF(OR(ISBLANK($G9),ISBLANK($F9)),"",IF(MIN(OFFSET(Climate!$E$5,$G9-1,0,MIN($J9+1,ClimateRows-$G9+1),1))&lt;INDEX(Crops!$K$5:$K$22,MATCH($F9,CropNames,0)),"!",""))</f>
        <v/>
      </c>
      <c r="O9" s="182" t="str">
        <f aca="true">IF(OR(ISBLANK($G9),ISBLANK($F9)),"",IF(MAX(OFFSET(Climate!$F$5,$G9-1,0,MIN($J9+1,ClimateRows-$G9+1),1))&gt;INDEX(Crops!$M$5:$M$22,MATCH($F9,CropNames,0)),"!",""))</f>
        <v/>
      </c>
      <c r="P9" s="178"/>
      <c r="R9" s="130" t="s">
        <v>571</v>
      </c>
      <c r="S9" s="130" t="n">
        <f aca="false">COUNTIF($M$7:$M$18,"ripening")</f>
        <v>0</v>
      </c>
      <c r="T9" s="183" t="s">
        <v>575</v>
      </c>
      <c r="U9" s="184" t="n">
        <f aca="false">COUNTIF(Plots!$M$7:$M$18,"empty")</f>
        <v>11</v>
      </c>
    </row>
    <row r="10" customFormat="false" ht="24" hidden="false" customHeight="true" outlineLevel="0" collapsed="false">
      <c r="A10" s="45"/>
      <c r="B10" s="103" t="s">
        <v>576</v>
      </c>
      <c r="C10" s="178"/>
      <c r="D10" s="181"/>
      <c r="E10" s="157" t="b">
        <f aca="false">FALSE()</f>
        <v>0</v>
      </c>
      <c r="F10" s="185"/>
      <c r="G10" s="181"/>
      <c r="H10" s="156" t="str">
        <f aca="false">IF(ISBLANK($G10),"",MOD($G10-1,DaysPerMonth)+1&amp;" "&amp;CHOOSE(INT(($G10-1)/DaysPerMonth)+1,"Jan","Feb","Mar","Apr","May","Jun","Jul","Aug","Sep","Oct","Nov","Dec"))</f>
        <v/>
      </c>
      <c r="I10" s="181"/>
      <c r="J10" s="102" t="str">
        <f aca="false">IF(ISBLANK($G10),"",CurrentDay-$G10)</f>
        <v/>
      </c>
      <c r="K10" s="102" t="str">
        <f aca="false">IF(OR(ISBLANK($F10),ISBLANK($G10)),"",$G10+CEILING(INDEX(Crops!$F$5:$F$22,MATCH($F10,CropNames,0))/0.974,1))</f>
        <v/>
      </c>
      <c r="L10" s="102" t="str">
        <f aca="false">IF(OR(ISBLANK($F10),ISBLANK($G10)),"",$K10-CurrentDay)</f>
        <v/>
      </c>
      <c r="M10" s="103" t="str">
        <f aca="false">IF(ISBLANK($F10),"empty",IF(ISBLANK($G10),"unplanted",IF($L10&lt;=0,"READY",IF($L10&lt;=3,"ripening","growing"))))</f>
        <v>empty</v>
      </c>
      <c r="N10" s="186" t="str">
        <f aca="true">IF(OR(ISBLANK($G10),ISBLANK($F10)),"",IF(MIN(OFFSET(Climate!$E$5,$G10-1,0,MIN($J10+1,ClimateRows-$G10+1),1))&lt;INDEX(Crops!$K$5:$K$22,MATCH($F10,CropNames,0)),"!",""))</f>
        <v/>
      </c>
      <c r="O10" s="186" t="str">
        <f aca="true">IF(OR(ISBLANK($G10),ISBLANK($F10)),"",IF(MAX(OFFSET(Climate!$F$5,$G10-1,0,MIN($J10+1,ClimateRows-$G10+1),1))&gt;INDEX(Crops!$M$5:$M$22,MATCH($F10,CropNames,0)),"!",""))</f>
        <v/>
      </c>
      <c r="P10" s="178"/>
      <c r="R10" s="130" t="s">
        <v>573</v>
      </c>
      <c r="S10" s="130" t="n">
        <f aca="false">COUNTIF($M$7:$M$18,"READY")</f>
        <v>0</v>
      </c>
      <c r="T10" s="176" t="s">
        <v>577</v>
      </c>
      <c r="U10" s="177" t="n">
        <f aca="false">COUNTIF(Plots!$M$7:$M$18,"unplanted")</f>
        <v>0</v>
      </c>
    </row>
    <row r="11" customFormat="false" ht="21.75" hidden="false" customHeight="true" outlineLevel="0" collapsed="false">
      <c r="A11" s="38"/>
      <c r="B11" s="94" t="s">
        <v>578</v>
      </c>
      <c r="C11" s="178"/>
      <c r="D11" s="181"/>
      <c r="E11" s="157" t="b">
        <f aca="false">FALSE()</f>
        <v>0</v>
      </c>
      <c r="F11" s="185"/>
      <c r="G11" s="181"/>
      <c r="H11" s="180" t="str">
        <f aca="false">IF(ISBLANK($G11),"",MOD($G11-1,DaysPerMonth)+1&amp;" "&amp;CHOOSE(INT(($G11-1)/DaysPerMonth)+1,"Jan","Feb","Mar","Apr","May","Jun","Jul","Aug","Sep","Oct","Nov","Dec"))</f>
        <v/>
      </c>
      <c r="I11" s="181"/>
      <c r="J11" s="93" t="str">
        <f aca="false">IF(ISBLANK($G11),"",CurrentDay-$G11)</f>
        <v/>
      </c>
      <c r="K11" s="93" t="str">
        <f aca="false">IF(OR(ISBLANK($F11),ISBLANK($G11)),"",$G11+CEILING(INDEX(Crops!$F$5:$F$22,MATCH($F11,CropNames,0))/0.974,1))</f>
        <v/>
      </c>
      <c r="L11" s="93" t="str">
        <f aca="false">IF(OR(ISBLANK($F11),ISBLANK($G11)),"",$K11-CurrentDay)</f>
        <v/>
      </c>
      <c r="M11" s="94" t="str">
        <f aca="false">IF(ISBLANK($F11),"empty",IF(ISBLANK($G11),"unplanted",IF($L11&lt;=0,"READY",IF($L11&lt;=3,"ripening","growing"))))</f>
        <v>empty</v>
      </c>
      <c r="N11" s="182" t="str">
        <f aca="true">IF(OR(ISBLANK($G11),ISBLANK($F11)),"",IF(MIN(OFFSET(Climate!$E$5,$G11-1,0,MIN($J11+1,ClimateRows-$G11+1),1))&lt;INDEX(Crops!$K$5:$K$22,MATCH($F11,CropNames,0)),"!",""))</f>
        <v/>
      </c>
      <c r="O11" s="182" t="str">
        <f aca="true">IF(OR(ISBLANK($G11),ISBLANK($F11)),"",IF(MAX(OFFSET(Climate!$F$5,$G11-1,0,MIN($J11+1,ClimateRows-$G11+1),1))&gt;INDEX(Crops!$M$5:$M$22,MATCH($F11,CropNames,0)),"!",""))</f>
        <v/>
      </c>
      <c r="P11" s="178"/>
      <c r="R11" s="130" t="s">
        <v>575</v>
      </c>
      <c r="S11" s="130" t="n">
        <f aca="false">COUNTIF($M$7:$M$18,"empty")</f>
        <v>11</v>
      </c>
    </row>
    <row r="12" customFormat="false" ht="21.75" hidden="false" customHeight="true" outlineLevel="0" collapsed="false">
      <c r="A12" s="45"/>
      <c r="B12" s="103" t="s">
        <v>579</v>
      </c>
      <c r="C12" s="178"/>
      <c r="D12" s="181"/>
      <c r="E12" s="157" t="b">
        <f aca="false">FALSE()</f>
        <v>0</v>
      </c>
      <c r="F12" s="185"/>
      <c r="G12" s="181"/>
      <c r="H12" s="156" t="str">
        <f aca="false">IF(ISBLANK($G12),"",MOD($G12-1,DaysPerMonth)+1&amp;" "&amp;CHOOSE(INT(($G12-1)/DaysPerMonth)+1,"Jan","Feb","Mar","Apr","May","Jun","Jul","Aug","Sep","Oct","Nov","Dec"))</f>
        <v/>
      </c>
      <c r="I12" s="181"/>
      <c r="J12" s="102" t="str">
        <f aca="false">IF(ISBLANK($G12),"",CurrentDay-$G12)</f>
        <v/>
      </c>
      <c r="K12" s="102" t="str">
        <f aca="false">IF(OR(ISBLANK($F12),ISBLANK($G12)),"",$G12+CEILING(INDEX(Crops!$F$5:$F$22,MATCH($F12,CropNames,0))/0.974,1))</f>
        <v/>
      </c>
      <c r="L12" s="102" t="str">
        <f aca="false">IF(OR(ISBLANK($F12),ISBLANK($G12)),"",$K12-CurrentDay)</f>
        <v/>
      </c>
      <c r="M12" s="103" t="str">
        <f aca="false">IF(ISBLANK($F12),"empty",IF(ISBLANK($G12),"unplanted",IF($L12&lt;=0,"READY",IF($L12&lt;=3,"ripening","growing"))))</f>
        <v>empty</v>
      </c>
      <c r="N12" s="186" t="str">
        <f aca="true">IF(OR(ISBLANK($G12),ISBLANK($F12)),"",IF(MIN(OFFSET(Climate!$E$5,$G12-1,0,MIN($J12+1,ClimateRows-$G12+1),1))&lt;INDEX(Crops!$K$5:$K$22,MATCH($F12,CropNames,0)),"!",""))</f>
        <v/>
      </c>
      <c r="O12" s="186" t="str">
        <f aca="true">IF(OR(ISBLANK($G12),ISBLANK($F12)),"",IF(MAX(OFFSET(Climate!$F$5,$G12-1,0,MIN($J12+1,ClimateRows-$G12+1),1))&gt;INDEX(Crops!$M$5:$M$22,MATCH($F12,CropNames,0)),"!",""))</f>
        <v/>
      </c>
      <c r="P12" s="178"/>
      <c r="R12" s="130" t="s">
        <v>577</v>
      </c>
      <c r="S12" s="130" t="n">
        <f aca="false">COUNTIF($M$7:$M$18,"unplanted")</f>
        <v>0</v>
      </c>
    </row>
    <row r="13" customFormat="false" ht="21.75" hidden="false" customHeight="true" outlineLevel="0" collapsed="false">
      <c r="A13" s="38"/>
      <c r="B13" s="94" t="s">
        <v>580</v>
      </c>
      <c r="C13" s="178"/>
      <c r="D13" s="181"/>
      <c r="E13" s="157" t="b">
        <f aca="false">FALSE()</f>
        <v>0</v>
      </c>
      <c r="F13" s="185"/>
      <c r="G13" s="181"/>
      <c r="H13" s="180" t="str">
        <f aca="false">IF(ISBLANK($G13),"",MOD($G13-1,DaysPerMonth)+1&amp;" "&amp;CHOOSE(INT(($G13-1)/DaysPerMonth)+1,"Jan","Feb","Mar","Apr","May","Jun","Jul","Aug","Sep","Oct","Nov","Dec"))</f>
        <v/>
      </c>
      <c r="I13" s="181"/>
      <c r="J13" s="93" t="str">
        <f aca="false">IF(ISBLANK($G13),"",CurrentDay-$G13)</f>
        <v/>
      </c>
      <c r="K13" s="93" t="str">
        <f aca="false">IF(OR(ISBLANK($F13),ISBLANK($G13)),"",$G13+CEILING(INDEX(Crops!$F$5:$F$22,MATCH($F13,CropNames,0))/0.974,1))</f>
        <v/>
      </c>
      <c r="L13" s="93" t="str">
        <f aca="false">IF(OR(ISBLANK($F13),ISBLANK($G13)),"",$K13-CurrentDay)</f>
        <v/>
      </c>
      <c r="M13" s="94" t="str">
        <f aca="false">IF(ISBLANK($F13),"empty",IF(ISBLANK($G13),"unplanted",IF($L13&lt;=0,"READY",IF($L13&lt;=3,"ripening","growing"))))</f>
        <v>empty</v>
      </c>
      <c r="N13" s="182" t="str">
        <f aca="true">IF(OR(ISBLANK($G13),ISBLANK($F13)),"",IF(MIN(OFFSET(Climate!$E$5,$G13-1,0,MIN($J13+1,ClimateRows-$G13+1),1))&lt;INDEX(Crops!$K$5:$K$22,MATCH($F13,CropNames,0)),"!",""))</f>
        <v/>
      </c>
      <c r="O13" s="182" t="str">
        <f aca="true">IF(OR(ISBLANK($G13),ISBLANK($F13)),"",IF(MAX(OFFSET(Climate!$F$5,$G13-1,0,MIN($J13+1,ClimateRows-$G13+1),1))&gt;INDEX(Crops!$M$5:$M$22,MATCH($F13,CropNames,0)),"!",""))</f>
        <v/>
      </c>
      <c r="P13" s="178"/>
    </row>
    <row r="14" customFormat="false" ht="21.75" hidden="false" customHeight="true" outlineLevel="0" collapsed="false">
      <c r="A14" s="45"/>
      <c r="B14" s="103" t="s">
        <v>581</v>
      </c>
      <c r="C14" s="178"/>
      <c r="D14" s="181"/>
      <c r="E14" s="157" t="b">
        <f aca="false">FALSE()</f>
        <v>0</v>
      </c>
      <c r="F14" s="185"/>
      <c r="G14" s="181"/>
      <c r="H14" s="156" t="str">
        <f aca="false">IF(ISBLANK($G14),"",MOD($G14-1,DaysPerMonth)+1&amp;" "&amp;CHOOSE(INT(($G14-1)/DaysPerMonth)+1,"Jan","Feb","Mar","Apr","May","Jun","Jul","Aug","Sep","Oct","Nov","Dec"))</f>
        <v/>
      </c>
      <c r="I14" s="181"/>
      <c r="J14" s="102" t="str">
        <f aca="false">IF(ISBLANK($G14),"",CurrentDay-$G14)</f>
        <v/>
      </c>
      <c r="K14" s="102" t="str">
        <f aca="false">IF(OR(ISBLANK($F14),ISBLANK($G14)),"",$G14+CEILING(INDEX(Crops!$F$5:$F$22,MATCH($F14,CropNames,0))/0.974,1))</f>
        <v/>
      </c>
      <c r="L14" s="102" t="str">
        <f aca="false">IF(OR(ISBLANK($F14),ISBLANK($G14)),"",$K14-CurrentDay)</f>
        <v/>
      </c>
      <c r="M14" s="103" t="str">
        <f aca="false">IF(ISBLANK($F14),"empty",IF(ISBLANK($G14),"unplanted",IF($L14&lt;=0,"READY",IF($L14&lt;=3,"ripening","growing"))))</f>
        <v>empty</v>
      </c>
      <c r="N14" s="186" t="str">
        <f aca="true">IF(OR(ISBLANK($G14),ISBLANK($F14)),"",IF(MIN(OFFSET(Climate!$E$5,$G14-1,0,MIN($J14+1,ClimateRows-$G14+1),1))&lt;INDEX(Crops!$K$5:$K$22,MATCH($F14,CropNames,0)),"!",""))</f>
        <v/>
      </c>
      <c r="O14" s="186" t="str">
        <f aca="true">IF(OR(ISBLANK($G14),ISBLANK($F14)),"",IF(MAX(OFFSET(Climate!$F$5,$G14-1,0,MIN($J14+1,ClimateRows-$G14+1),1))&gt;INDEX(Crops!$M$5:$M$22,MATCH($F14,CropNames,0)),"!",""))</f>
        <v/>
      </c>
      <c r="P14" s="178"/>
    </row>
    <row r="15" customFormat="false" ht="21.75" hidden="false" customHeight="true" outlineLevel="0" collapsed="false">
      <c r="A15" s="38"/>
      <c r="B15" s="94" t="s">
        <v>582</v>
      </c>
      <c r="C15" s="178"/>
      <c r="D15" s="181"/>
      <c r="E15" s="157" t="b">
        <f aca="false">FALSE()</f>
        <v>0</v>
      </c>
      <c r="F15" s="185"/>
      <c r="G15" s="181"/>
      <c r="H15" s="180" t="str">
        <f aca="false">IF(ISBLANK($G15),"",MOD($G15-1,DaysPerMonth)+1&amp;" "&amp;CHOOSE(INT(($G15-1)/DaysPerMonth)+1,"Jan","Feb","Mar","Apr","May","Jun","Jul","Aug","Sep","Oct","Nov","Dec"))</f>
        <v/>
      </c>
      <c r="I15" s="181"/>
      <c r="J15" s="93" t="str">
        <f aca="false">IF(ISBLANK($G15),"",CurrentDay-$G15)</f>
        <v/>
      </c>
      <c r="K15" s="93" t="str">
        <f aca="false">IF(OR(ISBLANK($F15),ISBLANK($G15)),"",$G15+CEILING(INDEX(Crops!$F$5:$F$22,MATCH($F15,CropNames,0))/0.974,1))</f>
        <v/>
      </c>
      <c r="L15" s="93" t="str">
        <f aca="false">IF(OR(ISBLANK($F15),ISBLANK($G15)),"",$K15-CurrentDay)</f>
        <v/>
      </c>
      <c r="M15" s="94" t="str">
        <f aca="false">IF(ISBLANK($F15),"empty",IF(ISBLANK($G15),"unplanted",IF($L15&lt;=0,"READY",IF($L15&lt;=3,"ripening","growing"))))</f>
        <v>empty</v>
      </c>
      <c r="N15" s="182" t="str">
        <f aca="true">IF(OR(ISBLANK($G15),ISBLANK($F15)),"",IF(MIN(OFFSET(Climate!$E$5,$G15-1,0,MIN($J15+1,ClimateRows-$G15+1),1))&lt;INDEX(Crops!$K$5:$K$22,MATCH($F15,CropNames,0)),"!",""))</f>
        <v/>
      </c>
      <c r="O15" s="182" t="str">
        <f aca="true">IF(OR(ISBLANK($G15),ISBLANK($F15)),"",IF(MAX(OFFSET(Climate!$F$5,$G15-1,0,MIN($J15+1,ClimateRows-$G15+1),1))&gt;INDEX(Crops!$M$5:$M$22,MATCH($F15,CropNames,0)),"!",""))</f>
        <v/>
      </c>
      <c r="P15" s="178"/>
    </row>
    <row r="16" customFormat="false" ht="21.75" hidden="false" customHeight="true" outlineLevel="0" collapsed="false">
      <c r="A16" s="45"/>
      <c r="B16" s="103" t="s">
        <v>583</v>
      </c>
      <c r="C16" s="178"/>
      <c r="D16" s="181"/>
      <c r="E16" s="157" t="b">
        <f aca="false">FALSE()</f>
        <v>0</v>
      </c>
      <c r="F16" s="185"/>
      <c r="G16" s="181"/>
      <c r="H16" s="156" t="str">
        <f aca="false">IF(ISBLANK($G16),"",MOD($G16-1,DaysPerMonth)+1&amp;" "&amp;CHOOSE(INT(($G16-1)/DaysPerMonth)+1,"Jan","Feb","Mar","Apr","May","Jun","Jul","Aug","Sep","Oct","Nov","Dec"))</f>
        <v/>
      </c>
      <c r="I16" s="181"/>
      <c r="J16" s="102" t="str">
        <f aca="false">IF(ISBLANK($G16),"",CurrentDay-$G16)</f>
        <v/>
      </c>
      <c r="K16" s="102" t="str">
        <f aca="false">IF(OR(ISBLANK($F16),ISBLANK($G16)),"",$G16+CEILING(INDEX(Crops!$F$5:$F$22,MATCH($F16,CropNames,0))/0.974,1))</f>
        <v/>
      </c>
      <c r="L16" s="102" t="str">
        <f aca="false">IF(OR(ISBLANK($F16),ISBLANK($G16)),"",$K16-CurrentDay)</f>
        <v/>
      </c>
      <c r="M16" s="103" t="str">
        <f aca="false">IF(ISBLANK($F16),"empty",IF(ISBLANK($G16),"unplanted",IF($L16&lt;=0,"READY",IF($L16&lt;=3,"ripening","growing"))))</f>
        <v>empty</v>
      </c>
      <c r="N16" s="186" t="str">
        <f aca="true">IF(OR(ISBLANK($G16),ISBLANK($F16)),"",IF(MIN(OFFSET(Climate!$E$5,$G16-1,0,MIN($J16+1,ClimateRows-$G16+1),1))&lt;INDEX(Crops!$K$5:$K$22,MATCH($F16,CropNames,0)),"!",""))</f>
        <v/>
      </c>
      <c r="O16" s="186" t="str">
        <f aca="true">IF(OR(ISBLANK($G16),ISBLANK($F16)),"",IF(MAX(OFFSET(Climate!$F$5,$G16-1,0,MIN($J16+1,ClimateRows-$G16+1),1))&gt;INDEX(Crops!$M$5:$M$22,MATCH($F16,CropNames,0)),"!",""))</f>
        <v/>
      </c>
      <c r="P16" s="178"/>
    </row>
    <row r="17" customFormat="false" ht="21.75" hidden="false" customHeight="true" outlineLevel="0" collapsed="false">
      <c r="A17" s="38"/>
      <c r="B17" s="94" t="s">
        <v>584</v>
      </c>
      <c r="C17" s="178"/>
      <c r="D17" s="181"/>
      <c r="E17" s="157" t="b">
        <f aca="false">FALSE()</f>
        <v>0</v>
      </c>
      <c r="F17" s="185"/>
      <c r="G17" s="181"/>
      <c r="H17" s="180" t="str">
        <f aca="false">IF(ISBLANK($G17),"",MOD($G17-1,DaysPerMonth)+1&amp;" "&amp;CHOOSE(INT(($G17-1)/DaysPerMonth)+1,"Jan","Feb","Mar","Apr","May","Jun","Jul","Aug","Sep","Oct","Nov","Dec"))</f>
        <v/>
      </c>
      <c r="I17" s="181"/>
      <c r="J17" s="93" t="str">
        <f aca="false">IF(ISBLANK($G17),"",CurrentDay-$G17)</f>
        <v/>
      </c>
      <c r="K17" s="93" t="str">
        <f aca="false">IF(OR(ISBLANK($F17),ISBLANK($G17)),"",$G17+CEILING(INDEX(Crops!$F$5:$F$22,MATCH($F17,CropNames,0))/0.974,1))</f>
        <v/>
      </c>
      <c r="L17" s="93" t="str">
        <f aca="false">IF(OR(ISBLANK($F17),ISBLANK($G17)),"",$K17-CurrentDay)</f>
        <v/>
      </c>
      <c r="M17" s="94" t="str">
        <f aca="false">IF(ISBLANK($F17),"empty",IF(ISBLANK($G17),"unplanted",IF($L17&lt;=0,"READY",IF($L17&lt;=3,"ripening","growing"))))</f>
        <v>empty</v>
      </c>
      <c r="N17" s="182" t="str">
        <f aca="true">IF(OR(ISBLANK($G17),ISBLANK($F17)),"",IF(MIN(OFFSET(Climate!$E$5,$G17-1,0,MIN($J17+1,ClimateRows-$G17+1),1))&lt;INDEX(Crops!$K$5:$K$22,MATCH($F17,CropNames,0)),"!",""))</f>
        <v/>
      </c>
      <c r="O17" s="182" t="str">
        <f aca="true">IF(OR(ISBLANK($G17),ISBLANK($F17)),"",IF(MAX(OFFSET(Climate!$F$5,$G17-1,0,MIN($J17+1,ClimateRows-$G17+1),1))&gt;INDEX(Crops!$M$5:$M$22,MATCH($F17,CropNames,0)),"!",""))</f>
        <v/>
      </c>
      <c r="P17" s="178"/>
    </row>
    <row r="18" customFormat="false" ht="21.75" hidden="false" customHeight="true" outlineLevel="0" collapsed="false">
      <c r="A18" s="45"/>
      <c r="B18" s="103" t="s">
        <v>585</v>
      </c>
      <c r="C18" s="178"/>
      <c r="D18" s="181"/>
      <c r="E18" s="157" t="b">
        <f aca="false">FALSE()</f>
        <v>0</v>
      </c>
      <c r="F18" s="185"/>
      <c r="G18" s="181"/>
      <c r="H18" s="156" t="str">
        <f aca="false">IF(ISBLANK($G18),"",MOD($G18-1,DaysPerMonth)+1&amp;" "&amp;CHOOSE(INT(($G18-1)/DaysPerMonth)+1,"Jan","Feb","Mar","Apr","May","Jun","Jul","Aug","Sep","Oct","Nov","Dec"))</f>
        <v/>
      </c>
      <c r="I18" s="181"/>
      <c r="J18" s="102" t="str">
        <f aca="false">IF(ISBLANK($G18),"",CurrentDay-$G18)</f>
        <v/>
      </c>
      <c r="K18" s="102" t="str">
        <f aca="false">IF(OR(ISBLANK($F18),ISBLANK($G18)),"",$G18+CEILING(INDEX(Crops!$F$5:$F$22,MATCH($F18,CropNames,0))/0.974,1))</f>
        <v/>
      </c>
      <c r="L18" s="102" t="str">
        <f aca="false">IF(OR(ISBLANK($F18),ISBLANK($G18)),"",$K18-CurrentDay)</f>
        <v/>
      </c>
      <c r="M18" s="103" t="str">
        <f aca="false">IF(ISBLANK($F18),"empty",IF(ISBLANK($G18),"unplanted",IF($L18&lt;=0,"READY",IF($L18&lt;=3,"ripening","growing"))))</f>
        <v>empty</v>
      </c>
      <c r="N18" s="186" t="str">
        <f aca="true">IF(OR(ISBLANK($G18),ISBLANK($F18)),"",IF(MIN(OFFSET(Climate!$E$5,$G18-1,0,MIN($J18+1,ClimateRows-$G18+1),1))&lt;INDEX(Crops!$K$5:$K$22,MATCH($F18,CropNames,0)),"!",""))</f>
        <v/>
      </c>
      <c r="O18" s="186" t="str">
        <f aca="true">IF(OR(ISBLANK($G18),ISBLANK($F18)),"",IF(MAX(OFFSET(Climate!$F$5,$G18-1,0,MIN($J18+1,ClimateRows-$G18+1),1))&gt;INDEX(Crops!$M$5:$M$22,MATCH($F18,CropNames,0)),"!",""))</f>
        <v/>
      </c>
      <c r="P18" s="178"/>
    </row>
    <row r="22" customFormat="false" ht="24" hidden="false" customHeight="true" outlineLevel="0" collapsed="false">
      <c r="A22" s="5" t="s">
        <v>586</v>
      </c>
      <c r="B22" s="5"/>
      <c r="C22" s="5"/>
      <c r="D22" s="5"/>
      <c r="E22" s="5"/>
      <c r="F22" s="5"/>
      <c r="G22" s="5"/>
      <c r="H22" s="5"/>
      <c r="I22" s="5"/>
      <c r="J22" s="5"/>
      <c r="K22" s="5"/>
      <c r="L22" s="5"/>
      <c r="M22" s="5"/>
      <c r="N22" s="5"/>
      <c r="O22" s="5"/>
      <c r="P22" s="5"/>
    </row>
    <row r="23" customFormat="false" ht="21.75" hidden="false" customHeight="true" outlineLevel="0" collapsed="false">
      <c r="A23" s="66"/>
      <c r="B23" s="187" t="s">
        <v>587</v>
      </c>
      <c r="C23" s="188" t="n">
        <f aca="false">COUNTIF($M$7:$M$18,"&lt;&gt;empty")-COUNTIF($M$7:$M$18,"unplanted")</f>
        <v>1</v>
      </c>
      <c r="D23" s="66"/>
      <c r="E23" s="66"/>
      <c r="F23" s="66"/>
      <c r="G23" s="66"/>
      <c r="H23" s="66"/>
      <c r="I23" s="66"/>
      <c r="J23" s="66"/>
      <c r="K23" s="66"/>
      <c r="L23" s="66"/>
      <c r="M23" s="66"/>
      <c r="N23" s="66"/>
      <c r="O23" s="66"/>
      <c r="P23" s="66"/>
    </row>
    <row r="24" customFormat="false" ht="21.75" hidden="false" customHeight="true" outlineLevel="0" collapsed="false">
      <c r="A24" s="63"/>
      <c r="B24" s="189" t="s">
        <v>588</v>
      </c>
      <c r="C24" s="190" t="n">
        <f aca="false">COUNTIF($M$7:$M$18,"READY")</f>
        <v>0</v>
      </c>
      <c r="D24" s="63"/>
      <c r="E24" s="63"/>
      <c r="F24" s="63"/>
      <c r="G24" s="63"/>
      <c r="H24" s="63"/>
      <c r="I24" s="63"/>
      <c r="J24" s="63"/>
      <c r="K24" s="63"/>
      <c r="L24" s="63"/>
      <c r="M24" s="63"/>
      <c r="N24" s="63"/>
      <c r="O24" s="63"/>
      <c r="P24" s="63"/>
    </row>
    <row r="25" customFormat="false" ht="21.75" hidden="false" customHeight="true" outlineLevel="0" collapsed="false">
      <c r="A25" s="66"/>
      <c r="B25" s="187" t="s">
        <v>589</v>
      </c>
      <c r="C25" s="188" t="n">
        <f aca="false">COUNTIF($M$7:$M$18,"ripening")</f>
        <v>0</v>
      </c>
      <c r="D25" s="66"/>
      <c r="E25" s="66"/>
      <c r="F25" s="66"/>
      <c r="G25" s="66"/>
      <c r="H25" s="66"/>
      <c r="I25" s="66"/>
      <c r="J25" s="66"/>
      <c r="K25" s="66"/>
      <c r="L25" s="66"/>
      <c r="M25" s="66"/>
      <c r="N25" s="66"/>
      <c r="O25" s="66"/>
      <c r="P25" s="66"/>
    </row>
    <row r="26" customFormat="false" ht="21.75" hidden="false" customHeight="true" outlineLevel="0" collapsed="false">
      <c r="A26" s="63"/>
      <c r="B26" s="189" t="s">
        <v>590</v>
      </c>
      <c r="C26" s="190" t="n">
        <f aca="false">COUNTIF($N$7:$N$18,"!")</f>
        <v>0</v>
      </c>
      <c r="D26" s="63"/>
      <c r="E26" s="63"/>
      <c r="F26" s="63"/>
      <c r="G26" s="63"/>
      <c r="H26" s="63"/>
      <c r="I26" s="63"/>
      <c r="J26" s="63"/>
      <c r="K26" s="63"/>
      <c r="L26" s="63"/>
      <c r="M26" s="63"/>
      <c r="N26" s="63"/>
      <c r="O26" s="63"/>
      <c r="P26" s="63"/>
    </row>
    <row r="27" customFormat="false" ht="21.75" hidden="false" customHeight="true" outlineLevel="0" collapsed="false">
      <c r="A27" s="66"/>
      <c r="B27" s="187" t="s">
        <v>591</v>
      </c>
      <c r="C27" s="188" t="n">
        <f aca="false">COUNTIF($O$7:$O$18,"!")</f>
        <v>0</v>
      </c>
      <c r="D27" s="66"/>
      <c r="E27" s="66"/>
      <c r="F27" s="66"/>
      <c r="G27" s="66"/>
      <c r="H27" s="66"/>
      <c r="I27" s="66"/>
      <c r="J27" s="66"/>
      <c r="K27" s="66"/>
      <c r="L27" s="66"/>
      <c r="M27" s="66"/>
      <c r="N27" s="66"/>
      <c r="O27" s="66"/>
      <c r="P27" s="66"/>
    </row>
  </sheetData>
  <mergeCells count="6">
    <mergeCell ref="A1:P1"/>
    <mergeCell ref="A2:P2"/>
    <mergeCell ref="A3:P3"/>
    <mergeCell ref="D4:G4"/>
    <mergeCell ref="T5:U5"/>
    <mergeCell ref="A22:P22"/>
  </mergeCells>
  <conditionalFormatting sqref="M7:M18">
    <cfRule type="expression" priority="2" aboveAverage="0" equalAverage="0" bottom="0" percent="0" rank="0" text="" dxfId="8">
      <formula>M7="READY"</formula>
    </cfRule>
    <cfRule type="expression" priority="3" aboveAverage="0" equalAverage="0" bottom="0" percent="0" rank="0" text="" dxfId="7">
      <formula>M7="ripening"</formula>
    </cfRule>
    <cfRule type="expression" priority="4" aboveAverage="0" equalAverage="0" bottom="0" percent="0" rank="0" text="" dxfId="4">
      <formula>M7="growing"</formula>
    </cfRule>
    <cfRule type="expression" priority="5" aboveAverage="0" equalAverage="0" bottom="0" percent="0" rank="0" text="" dxfId="9">
      <formula>M7="empty"</formula>
    </cfRule>
    <cfRule type="expression" priority="6" aboveAverage="0" equalAverage="0" bottom="0" percent="0" rank="0" text="" dxfId="0">
      <formula>M7="READY"</formula>
    </cfRule>
    <cfRule type="expression" priority="7" aboveAverage="0" equalAverage="0" bottom="0" percent="0" rank="0" text="" dxfId="1">
      <formula>M7="ripening"</formula>
    </cfRule>
    <cfRule type="expression" priority="8" aboveAverage="0" equalAverage="0" bottom="0" percent="0" rank="0" text="" dxfId="3">
      <formula>M7="growing"</formula>
    </cfRule>
    <cfRule type="expression" priority="9" aboveAverage="0" equalAverage="0" bottom="0" percent="0" rank="0" text="" dxfId="10">
      <formula>M7="empty"</formula>
    </cfRule>
  </conditionalFormatting>
  <conditionalFormatting sqref="N7:O18">
    <cfRule type="expression" priority="10" aboveAverage="0" equalAverage="0" bottom="0" percent="0" rank="0" text="" dxfId="5">
      <formula>N7="!"</formula>
    </cfRule>
    <cfRule type="expression" priority="11" aboveAverage="0" equalAverage="0" bottom="0" percent="0" rank="0" text="" dxfId="2">
      <formula>N7="!"</formula>
    </cfRule>
  </conditionalFormatting>
  <conditionalFormatting sqref="L7:L18">
    <cfRule type="expression" priority="12" aboveAverage="0" equalAverage="0" bottom="0" percent="0" rank="0" text="" dxfId="6">
      <formula>AND(ISNUMBER(L7),L7&lt;=0)</formula>
    </cfRule>
    <cfRule type="expression" priority="13" aboveAverage="0" equalAverage="0" bottom="0" percent="0" rank="0" text="" dxfId="7">
      <formula>AND(ISNUMBER(L7),L7&lt;=3,L7&gt;0)</formula>
    </cfRule>
    <cfRule type="expression" priority="14" aboveAverage="0" equalAverage="0" bottom="0" percent="0" rank="0" text="" dxfId="11">
      <formula>AND(ISNUMBER(L7),L7&lt;=0)</formula>
    </cfRule>
    <cfRule type="expression" priority="15" aboveAverage="0" equalAverage="0" bottom="0" percent="0" rank="0" text="" dxfId="12">
      <formula>AND(ISNUMBER(L7),L7&lt;=3,L7&gt;0)</formula>
    </cfRule>
  </conditionalFormatting>
  <dataValidations count="4">
    <dataValidation allowBlank="true" errorStyle="stop" operator="between" showDropDown="false" showErrorMessage="false" showInputMessage="false" sqref="F7:F18" type="list">
      <formula1>CropNames</formula1>
      <formula2>0</formula2>
    </dataValidation>
    <dataValidation allowBlank="false" errorStyle="stop" operator="between" showDropDown="false" showErrorMessage="false" showInputMessage="false" sqref="E7:E18" type="list">
      <formula1>"TRUE,FALSE"</formula1>
      <formula2>0</formula2>
    </dataValidation>
    <dataValidation allowBlank="true" errorStyle="stop" operator="between" showDropDown="false" showErrorMessage="false" showInputMessage="false" sqref="G7:G18" type="decimal">
      <formula1>1</formula1>
      <formula2>108</formula2>
    </dataValidation>
    <dataValidation allowBlank="true" errorStyle="stop" operator="between" showDropDown="false" showErrorMessage="false" showInputMessage="false" sqref="D7:D18" type="decimal">
      <formula1>0</formula1>
      <formula2>100</formula2>
    </dataValidation>
  </dataValidations>
  <printOptions headings="false" gridLines="false" gridLinesSet="true" horizontalCentered="false" verticalCentered="false"/>
  <pageMargins left="0.25" right="0.25" top="0.4" bottom="0.4"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C4749"/>
    <pageSetUpPr fitToPage="true"/>
  </sheetPr>
  <dimension ref="A1:I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16"/>
    <col collapsed="false" customWidth="true" hidden="false" outlineLevel="0" max="7" min="3" style="1" width="14"/>
    <col collapsed="false" customWidth="true" hidden="false" outlineLevel="0" max="8" min="8" style="1" width="11"/>
    <col collapsed="false" customWidth="true" hidden="false" outlineLevel="0" max="9" min="9" style="1" width="18"/>
  </cols>
  <sheetData>
    <row r="1" customFormat="false" ht="36" hidden="false" customHeight="true" outlineLevel="0" collapsed="false">
      <c r="A1" s="2" t="s">
        <v>592</v>
      </c>
      <c r="B1" s="2"/>
      <c r="C1" s="2"/>
      <c r="D1" s="2"/>
      <c r="E1" s="2"/>
      <c r="F1" s="2"/>
      <c r="G1" s="2"/>
      <c r="H1" s="2"/>
    </row>
    <row r="2" customFormat="false" ht="18" hidden="false" customHeight="true" outlineLevel="0" collapsed="false">
      <c r="A2" s="3" t="s">
        <v>593</v>
      </c>
      <c r="B2" s="3"/>
      <c r="C2" s="3"/>
      <c r="D2" s="3"/>
      <c r="E2" s="3"/>
      <c r="F2" s="3"/>
      <c r="G2" s="3"/>
      <c r="H2" s="3"/>
    </row>
    <row r="3" customFormat="false" ht="3.75" hidden="false" customHeight="true" outlineLevel="0" collapsed="false">
      <c r="A3" s="172" t="s">
        <v>594</v>
      </c>
      <c r="B3" s="172"/>
      <c r="C3" s="172"/>
      <c r="D3" s="172"/>
      <c r="E3" s="172"/>
      <c r="F3" s="172"/>
      <c r="G3" s="172"/>
      <c r="H3" s="172"/>
    </row>
    <row r="5" customFormat="false" ht="21.75" hidden="false" customHeight="true" outlineLevel="0" collapsed="false">
      <c r="B5" s="37" t="s">
        <v>595</v>
      </c>
      <c r="C5" s="37" t="s">
        <v>596</v>
      </c>
      <c r="D5" s="37" t="s">
        <v>597</v>
      </c>
      <c r="E5" s="37" t="s">
        <v>598</v>
      </c>
      <c r="F5" s="37" t="s">
        <v>599</v>
      </c>
      <c r="G5" s="37" t="s">
        <v>600</v>
      </c>
      <c r="H5" s="37" t="s">
        <v>601</v>
      </c>
      <c r="I5" s="191" t="s">
        <v>602</v>
      </c>
    </row>
    <row r="6" customFormat="false" ht="21.75" hidden="false" customHeight="true" outlineLevel="0" collapsed="false">
      <c r="A6" s="38"/>
      <c r="B6" s="94" t="s">
        <v>60</v>
      </c>
      <c r="C6" s="185"/>
      <c r="D6" s="180" t="str">
        <f aca="false">IF(ISBLANK($C6),"",INDEX(Crops!$G$5:$G$22,MATCH($C6,CropNames,0)))</f>
        <v/>
      </c>
      <c r="E6" s="185"/>
      <c r="F6" s="180" t="str">
        <f aca="false">IF(ISBLANK($E6),"",INDEX(Crops!$G$5:$G$22,MATCH($E6,CropNames,0)))</f>
        <v/>
      </c>
      <c r="G6" s="185"/>
      <c r="H6" s="94" t="str">
        <f aca="false">IFERROR(IF(AND(ISBLANK($D6),ISBLANK($F6)),"any",IF(COUNTIF($D6:$G6,"N")=0,"N",IF(COUNTIF($D6:$G6,"P")=0,"P",IF(COUNTIF($D6:$G6,"K")=0,"K","fallow")))),"")</f>
        <v>N</v>
      </c>
    </row>
    <row r="7" customFormat="false" ht="21.75" hidden="false" customHeight="true" outlineLevel="0" collapsed="false">
      <c r="A7" s="45"/>
      <c r="B7" s="103" t="s">
        <v>572</v>
      </c>
      <c r="C7" s="185"/>
      <c r="D7" s="156" t="str">
        <f aca="false">IF(ISBLANK($C7),"",INDEX(Crops!$G$5:$G$22,MATCH($C7,CropNames,0)))</f>
        <v/>
      </c>
      <c r="E7" s="185"/>
      <c r="F7" s="156" t="str">
        <f aca="false">IF(ISBLANK($E7),"",INDEX(Crops!$G$5:$G$22,MATCH($E7,CropNames,0)))</f>
        <v/>
      </c>
      <c r="G7" s="185"/>
      <c r="H7" s="103" t="str">
        <f aca="false">IFERROR(IF(AND(ISBLANK($D7),ISBLANK($F7)),"any",IF(COUNTIF($D7:$G7,"N")=0,"N",IF(COUNTIF($D7:$G7,"P")=0,"P",IF(COUNTIF($D7:$G7,"K")=0,"K","fallow")))),"")</f>
        <v>N</v>
      </c>
    </row>
    <row r="8" customFormat="false" ht="21.75" hidden="false" customHeight="true" outlineLevel="0" collapsed="false">
      <c r="A8" s="38"/>
      <c r="B8" s="94" t="s">
        <v>574</v>
      </c>
      <c r="C8" s="185"/>
      <c r="D8" s="180" t="str">
        <f aca="false">IF(ISBLANK($C8),"",INDEX(Crops!$G$5:$G$22,MATCH($C8,CropNames,0)))</f>
        <v/>
      </c>
      <c r="E8" s="185"/>
      <c r="F8" s="180" t="str">
        <f aca="false">IF(ISBLANK($E8),"",INDEX(Crops!$G$5:$G$22,MATCH($E8,CropNames,0)))</f>
        <v/>
      </c>
      <c r="G8" s="185"/>
      <c r="H8" s="94" t="str">
        <f aca="false">IFERROR(IF(AND(ISBLANK($D8),ISBLANK($F8)),"any",IF(COUNTIF($D8:$G8,"N")=0,"N",IF(COUNTIF($D8:$G8,"P")=0,"P",IF(COUNTIF($D8:$G8,"K")=0,"K","fallow")))),"")</f>
        <v>N</v>
      </c>
    </row>
    <row r="9" customFormat="false" ht="21.75" hidden="false" customHeight="true" outlineLevel="0" collapsed="false">
      <c r="A9" s="45"/>
      <c r="B9" s="103" t="s">
        <v>576</v>
      </c>
      <c r="C9" s="185"/>
      <c r="D9" s="156" t="str">
        <f aca="false">IF(ISBLANK($C9),"",INDEX(Crops!$G$5:$G$22,MATCH($C9,CropNames,0)))</f>
        <v/>
      </c>
      <c r="E9" s="185"/>
      <c r="F9" s="156" t="str">
        <f aca="false">IF(ISBLANK($E9),"",INDEX(Crops!$G$5:$G$22,MATCH($E9,CropNames,0)))</f>
        <v/>
      </c>
      <c r="G9" s="185"/>
      <c r="H9" s="103" t="str">
        <f aca="false">IFERROR(IF(AND(ISBLANK($D9),ISBLANK($F9)),"any",IF(COUNTIF($D9:$G9,"N")=0,"N",IF(COUNTIF($D9:$G9,"P")=0,"P",IF(COUNTIF($D9:$G9,"K")=0,"K","fallow")))),"")</f>
        <v>N</v>
      </c>
    </row>
    <row r="10" customFormat="false" ht="21.75" hidden="false" customHeight="true" outlineLevel="0" collapsed="false">
      <c r="A10" s="38"/>
      <c r="B10" s="94" t="s">
        <v>578</v>
      </c>
      <c r="C10" s="185"/>
      <c r="D10" s="180" t="str">
        <f aca="false">IF(ISBLANK($C10),"",INDEX(Crops!$G$5:$G$22,MATCH($C10,CropNames,0)))</f>
        <v/>
      </c>
      <c r="E10" s="185"/>
      <c r="F10" s="180" t="str">
        <f aca="false">IF(ISBLANK($E10),"",INDEX(Crops!$G$5:$G$22,MATCH($E10,CropNames,0)))</f>
        <v/>
      </c>
      <c r="G10" s="185"/>
      <c r="H10" s="94" t="str">
        <f aca="false">IFERROR(IF(AND(ISBLANK($D10),ISBLANK($F10)),"any",IF(COUNTIF($D10:$G10,"N")=0,"N",IF(COUNTIF($D10:$G10,"P")=0,"P",IF(COUNTIF($D10:$G10,"K")=0,"K","fallow")))),"")</f>
        <v>N</v>
      </c>
    </row>
    <row r="11" customFormat="false" ht="21.75" hidden="false" customHeight="true" outlineLevel="0" collapsed="false">
      <c r="A11" s="45"/>
      <c r="B11" s="103" t="s">
        <v>579</v>
      </c>
      <c r="C11" s="185"/>
      <c r="D11" s="156" t="str">
        <f aca="false">IF(ISBLANK($C11),"",INDEX(Crops!$G$5:$G$22,MATCH($C11,CropNames,0)))</f>
        <v/>
      </c>
      <c r="E11" s="185"/>
      <c r="F11" s="156" t="str">
        <f aca="false">IF(ISBLANK($E11),"",INDEX(Crops!$G$5:$G$22,MATCH($E11,CropNames,0)))</f>
        <v/>
      </c>
      <c r="G11" s="185"/>
      <c r="H11" s="103" t="str">
        <f aca="false">IFERROR(IF(AND(ISBLANK($D11),ISBLANK($F11)),"any",IF(COUNTIF($D11:$G11,"N")=0,"N",IF(COUNTIF($D11:$G11,"P")=0,"P",IF(COUNTIF($D11:$G11,"K")=0,"K","fallow")))),"")</f>
        <v>N</v>
      </c>
    </row>
    <row r="12" customFormat="false" ht="21.75" hidden="false" customHeight="true" outlineLevel="0" collapsed="false">
      <c r="A12" s="38"/>
      <c r="B12" s="94" t="s">
        <v>580</v>
      </c>
      <c r="C12" s="185"/>
      <c r="D12" s="180" t="str">
        <f aca="false">IF(ISBLANK($C12),"",INDEX(Crops!$G$5:$G$22,MATCH($C12,CropNames,0)))</f>
        <v/>
      </c>
      <c r="E12" s="185"/>
      <c r="F12" s="180" t="str">
        <f aca="false">IF(ISBLANK($E12),"",INDEX(Crops!$G$5:$G$22,MATCH($E12,CropNames,0)))</f>
        <v/>
      </c>
      <c r="G12" s="185"/>
      <c r="H12" s="94" t="str">
        <f aca="false">IFERROR(IF(AND(ISBLANK($D12),ISBLANK($F12)),"any",IF(COUNTIF($D12:$G12,"N")=0,"N",IF(COUNTIF($D12:$G12,"P")=0,"P",IF(COUNTIF($D12:$G12,"K")=0,"K","fallow")))),"")</f>
        <v>N</v>
      </c>
    </row>
    <row r="13" customFormat="false" ht="21.75" hidden="false" customHeight="true" outlineLevel="0" collapsed="false">
      <c r="A13" s="45"/>
      <c r="B13" s="103" t="s">
        <v>581</v>
      </c>
      <c r="C13" s="185"/>
      <c r="D13" s="156" t="str">
        <f aca="false">IF(ISBLANK($C13),"",INDEX(Crops!$G$5:$G$22,MATCH($C13,CropNames,0)))</f>
        <v/>
      </c>
      <c r="E13" s="185"/>
      <c r="F13" s="156" t="str">
        <f aca="false">IF(ISBLANK($E13),"",INDEX(Crops!$G$5:$G$22,MATCH($E13,CropNames,0)))</f>
        <v/>
      </c>
      <c r="G13" s="185"/>
      <c r="H13" s="103" t="str">
        <f aca="false">IFERROR(IF(AND(ISBLANK($D13),ISBLANK($F13)),"any",IF(COUNTIF($D13:$G13,"N")=0,"N",IF(COUNTIF($D13:$G13,"P")=0,"P",IF(COUNTIF($D13:$G13,"K")=0,"K","fallow")))),"")</f>
        <v>N</v>
      </c>
    </row>
    <row r="14" customFormat="false" ht="21.75" hidden="false" customHeight="true" outlineLevel="0" collapsed="false">
      <c r="A14" s="38"/>
      <c r="B14" s="94" t="s">
        <v>582</v>
      </c>
      <c r="C14" s="185"/>
      <c r="D14" s="180" t="str">
        <f aca="false">IF(ISBLANK($C14),"",INDEX(Crops!$G$5:$G$22,MATCH($C14,CropNames,0)))</f>
        <v/>
      </c>
      <c r="E14" s="185"/>
      <c r="F14" s="180" t="str">
        <f aca="false">IF(ISBLANK($E14),"",INDEX(Crops!$G$5:$G$22,MATCH($E14,CropNames,0)))</f>
        <v/>
      </c>
      <c r="G14" s="185"/>
      <c r="H14" s="94" t="str">
        <f aca="false">IFERROR(IF(AND(ISBLANK($D14),ISBLANK($F14)),"any",IF(COUNTIF($D14:$G14,"N")=0,"N",IF(COUNTIF($D14:$G14,"P")=0,"P",IF(COUNTIF($D14:$G14,"K")=0,"K","fallow")))),"")</f>
        <v>N</v>
      </c>
    </row>
    <row r="15" customFormat="false" ht="21.75" hidden="false" customHeight="true" outlineLevel="0" collapsed="false">
      <c r="A15" s="45"/>
      <c r="B15" s="103" t="s">
        <v>583</v>
      </c>
      <c r="C15" s="185"/>
      <c r="D15" s="156" t="str">
        <f aca="false">IF(ISBLANK($C15),"",INDEX(Crops!$G$5:$G$22,MATCH($C15,CropNames,0)))</f>
        <v/>
      </c>
      <c r="E15" s="185"/>
      <c r="F15" s="156" t="str">
        <f aca="false">IF(ISBLANK($E15),"",INDEX(Crops!$G$5:$G$22,MATCH($E15,CropNames,0)))</f>
        <v/>
      </c>
      <c r="G15" s="185"/>
      <c r="H15" s="103" t="str">
        <f aca="false">IFERROR(IF(AND(ISBLANK($D15),ISBLANK($F15)),"any",IF(COUNTIF($D15:$G15,"N")=0,"N",IF(COUNTIF($D15:$G15,"P")=0,"P",IF(COUNTIF($D15:$G15,"K")=0,"K","fallow")))),"")</f>
        <v>N</v>
      </c>
    </row>
    <row r="16" customFormat="false" ht="21.75" hidden="false" customHeight="true" outlineLevel="0" collapsed="false">
      <c r="A16" s="38"/>
      <c r="B16" s="94" t="s">
        <v>584</v>
      </c>
      <c r="C16" s="185"/>
      <c r="D16" s="180" t="str">
        <f aca="false">IF(ISBLANK($C16),"",INDEX(Crops!$G$5:$G$22,MATCH($C16,CropNames,0)))</f>
        <v/>
      </c>
      <c r="E16" s="185"/>
      <c r="F16" s="180" t="str">
        <f aca="false">IF(ISBLANK($E16),"",INDEX(Crops!$G$5:$G$22,MATCH($E16,CropNames,0)))</f>
        <v/>
      </c>
      <c r="G16" s="185"/>
      <c r="H16" s="94" t="str">
        <f aca="false">IFERROR(IF(AND(ISBLANK($D16),ISBLANK($F16)),"any",IF(COUNTIF($D16:$G16,"N")=0,"N",IF(COUNTIF($D16:$G16,"P")=0,"P",IF(COUNTIF($D16:$G16,"K")=0,"K","fallow")))),"")</f>
        <v>N</v>
      </c>
    </row>
    <row r="17" customFormat="false" ht="21.75" hidden="false" customHeight="true" outlineLevel="0" collapsed="false">
      <c r="A17" s="45"/>
      <c r="B17" s="103" t="s">
        <v>585</v>
      </c>
      <c r="C17" s="185"/>
      <c r="D17" s="156" t="str">
        <f aca="false">IF(ISBLANK($C17),"",INDEX(Crops!$G$5:$G$22,MATCH($C17,CropNames,0)))</f>
        <v/>
      </c>
      <c r="E17" s="185"/>
      <c r="F17" s="156" t="str">
        <f aca="false">IF(ISBLANK($E17),"",INDEX(Crops!$G$5:$G$22,MATCH($E17,CropNames,0)))</f>
        <v/>
      </c>
      <c r="G17" s="185"/>
      <c r="H17" s="103" t="str">
        <f aca="false">IFERROR(IF(AND(ISBLANK($D17),ISBLANK($F17)),"any",IF(COUNTIF($D17:$G17,"N")=0,"N",IF(COUNTIF($D17:$G17,"P")=0,"P",IF(COUNTIF($D17:$G17,"K")=0,"K","fallow")))),"")</f>
        <v>N</v>
      </c>
    </row>
    <row r="20" customFormat="false" ht="24" hidden="false" customHeight="true" outlineLevel="0" collapsed="false">
      <c r="A20" s="5" t="s">
        <v>603</v>
      </c>
      <c r="B20" s="5"/>
      <c r="C20" s="5"/>
      <c r="D20" s="5"/>
      <c r="E20" s="5"/>
      <c r="F20" s="5"/>
      <c r="G20" s="5"/>
      <c r="H20" s="5"/>
    </row>
    <row r="21" customFormat="false" ht="15" hidden="false" customHeight="true" outlineLevel="0" collapsed="false">
      <c r="B21" s="128" t="s">
        <v>604</v>
      </c>
      <c r="C21" s="192" t="s">
        <v>605</v>
      </c>
      <c r="D21" s="192"/>
      <c r="E21" s="192"/>
      <c r="F21" s="192"/>
      <c r="G21" s="192"/>
      <c r="H21" s="192"/>
    </row>
    <row r="22" customFormat="false" ht="15" hidden="false" customHeight="true" outlineLevel="0" collapsed="false">
      <c r="B22" s="128" t="s">
        <v>606</v>
      </c>
      <c r="C22" s="192" t="s">
        <v>607</v>
      </c>
      <c r="D22" s="192"/>
      <c r="E22" s="192"/>
      <c r="F22" s="192"/>
      <c r="G22" s="192"/>
      <c r="H22" s="192"/>
    </row>
    <row r="23" customFormat="false" ht="15" hidden="false" customHeight="true" outlineLevel="0" collapsed="false">
      <c r="B23" s="128" t="s">
        <v>608</v>
      </c>
      <c r="C23" s="192" t="s">
        <v>609</v>
      </c>
      <c r="D23" s="192"/>
      <c r="E23" s="192"/>
      <c r="F23" s="192"/>
      <c r="G23" s="192"/>
      <c r="H23" s="192"/>
    </row>
  </sheetData>
  <mergeCells count="7">
    <mergeCell ref="A1:H1"/>
    <mergeCell ref="A2:H2"/>
    <mergeCell ref="A3:H3"/>
    <mergeCell ref="A20:H20"/>
    <mergeCell ref="C21:H21"/>
    <mergeCell ref="C22:H22"/>
    <mergeCell ref="C23:H23"/>
  </mergeCells>
  <conditionalFormatting sqref="H6:H17">
    <cfRule type="expression" priority="2" aboveAverage="0" equalAverage="0" bottom="0" percent="0" rank="0" text="" dxfId="6">
      <formula>H6="N"</formula>
    </cfRule>
    <cfRule type="expression" priority="3" aboveAverage="0" equalAverage="0" bottom="0" percent="0" rank="0" text="" dxfId="4">
      <formula>H6="P"</formula>
    </cfRule>
    <cfRule type="expression" priority="4" aboveAverage="0" equalAverage="0" bottom="0" percent="0" rank="0" text="" dxfId="13">
      <formula>H6="K"</formula>
    </cfRule>
    <cfRule type="expression" priority="5" aboveAverage="0" equalAverage="0" bottom="0" percent="0" rank="0" text="" dxfId="9">
      <formula>H6="fallow"</formula>
    </cfRule>
  </conditionalFormatting>
  <dataValidations count="1">
    <dataValidation allowBlank="true" errorStyle="stop" operator="between" showDropDown="false" showErrorMessage="false" showInputMessage="false" sqref="C6:C17 E6:E17 G6:G17" type="list">
      <formula1>CropNames</formula1>
      <formula2>0</formula2>
    </dataValidation>
  </dataValidations>
  <printOptions headings="false" gridLines="false" gridLinesSet="true" horizontalCentered="false" verticalCentered="false"/>
  <pageMargins left="0.25" right="0.25" top="0.4" bottom="0.4"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C4749"/>
    <pageSetUpPr fitToPage="true"/>
  </sheetPr>
  <dimension ref="A1:I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10"/>
    <col collapsed="false" customWidth="true" hidden="false" outlineLevel="0" max="4" min="3" style="1" width="14"/>
    <col collapsed="false" customWidth="true" hidden="false" outlineLevel="0" max="5" min="5" style="1" width="8"/>
    <col collapsed="false" customWidth="true" hidden="false" outlineLevel="0" max="8" min="6" style="1" width="14"/>
    <col collapsed="false" customWidth="true" hidden="false" outlineLevel="0" max="9" min="9" style="1" width="50"/>
  </cols>
  <sheetData>
    <row r="1" customFormat="false" ht="36" hidden="false" customHeight="true" outlineLevel="0" collapsed="false">
      <c r="A1" s="2" t="s">
        <v>610</v>
      </c>
      <c r="B1" s="2"/>
      <c r="C1" s="2"/>
      <c r="D1" s="2"/>
      <c r="E1" s="2"/>
      <c r="F1" s="2"/>
      <c r="G1" s="2"/>
      <c r="H1" s="2"/>
      <c r="I1" s="2"/>
    </row>
    <row r="2" customFormat="false" ht="18" hidden="false" customHeight="true" outlineLevel="0" collapsed="false">
      <c r="A2" s="3" t="s">
        <v>611</v>
      </c>
      <c r="B2" s="3"/>
      <c r="C2" s="3"/>
      <c r="D2" s="3"/>
      <c r="E2" s="3"/>
      <c r="F2" s="3"/>
      <c r="G2" s="3"/>
      <c r="H2" s="3"/>
      <c r="I2" s="3"/>
    </row>
    <row r="3" customFormat="false" ht="3.75" hidden="false" customHeight="true" outlineLevel="0" collapsed="false">
      <c r="A3" s="4"/>
      <c r="B3" s="4"/>
      <c r="C3" s="4"/>
      <c r="D3" s="4"/>
      <c r="E3" s="4"/>
      <c r="F3" s="4"/>
      <c r="G3" s="4"/>
      <c r="H3" s="4"/>
      <c r="I3" s="4"/>
    </row>
    <row r="4" customFormat="false" ht="21.75" hidden="false" customHeight="true" outlineLevel="0" collapsed="false">
      <c r="B4" s="37" t="s">
        <v>299</v>
      </c>
      <c r="C4" s="37" t="s">
        <v>301</v>
      </c>
      <c r="D4" s="37" t="s">
        <v>612</v>
      </c>
      <c r="E4" s="37" t="s">
        <v>595</v>
      </c>
      <c r="F4" s="37" t="s">
        <v>613</v>
      </c>
      <c r="G4" s="37" t="s">
        <v>90</v>
      </c>
      <c r="H4" s="37" t="s">
        <v>614</v>
      </c>
      <c r="I4" s="37" t="s">
        <v>328</v>
      </c>
    </row>
    <row r="5" customFormat="false" ht="24" hidden="false" customHeight="true" outlineLevel="0" collapsed="false">
      <c r="A5" s="38"/>
      <c r="B5" s="193"/>
      <c r="C5" s="180" t="str">
        <f aca="false">IF(ISBLANK($B5),"",MOD($B5-1,DaysPerMonth)+1&amp;" "&amp;CHOOSE(INT(($B5-1)/DaysPerMonth)+1,"Jan","Feb","Mar","Apr","May","Jun","Jul","Aug","Sep","Oct","Nov","Dec"))</f>
        <v/>
      </c>
      <c r="D5" s="194"/>
      <c r="E5" s="194"/>
      <c r="F5" s="194"/>
      <c r="G5" s="194"/>
      <c r="H5" s="194"/>
      <c r="I5" s="195"/>
    </row>
    <row r="6" customFormat="false" ht="24" hidden="false" customHeight="true" outlineLevel="0" collapsed="false">
      <c r="A6" s="45"/>
      <c r="B6" s="111"/>
      <c r="C6" s="156" t="str">
        <f aca="false">IF(ISBLANK($B6),"",MOD($B6-1,DaysPerMonth)+1&amp;" "&amp;CHOOSE(INT(($B6-1)/DaysPerMonth)+1,"Jan","Feb","Mar","Apr","May","Jun","Jul","Aug","Sep","Oct","Nov","Dec"))</f>
        <v/>
      </c>
      <c r="D6" s="196"/>
      <c r="E6" s="196"/>
      <c r="F6" s="196"/>
      <c r="G6" s="196"/>
      <c r="H6" s="196"/>
      <c r="I6" s="197"/>
    </row>
    <row r="7" customFormat="false" ht="24" hidden="false" customHeight="true" outlineLevel="0" collapsed="false">
      <c r="A7" s="38"/>
      <c r="B7" s="193"/>
      <c r="C7" s="180" t="str">
        <f aca="false">IF(ISBLANK($B7),"",MOD($B7-1,DaysPerMonth)+1&amp;" "&amp;CHOOSE(INT(($B7-1)/DaysPerMonth)+1,"Jan","Feb","Mar","Apr","May","Jun","Jul","Aug","Sep","Oct","Nov","Dec"))</f>
        <v/>
      </c>
      <c r="D7" s="194"/>
      <c r="E7" s="194"/>
      <c r="F7" s="194"/>
      <c r="G7" s="194"/>
      <c r="H7" s="194"/>
      <c r="I7" s="195"/>
    </row>
    <row r="8" customFormat="false" ht="24" hidden="false" customHeight="true" outlineLevel="0" collapsed="false">
      <c r="A8" s="45"/>
      <c r="B8" s="111"/>
      <c r="C8" s="156" t="str">
        <f aca="false">IF(ISBLANK($B8),"",MOD($B8-1,DaysPerMonth)+1&amp;" "&amp;CHOOSE(INT(($B8-1)/DaysPerMonth)+1,"Jan","Feb","Mar","Apr","May","Jun","Jul","Aug","Sep","Oct","Nov","Dec"))</f>
        <v/>
      </c>
      <c r="D8" s="196"/>
      <c r="E8" s="196"/>
      <c r="F8" s="196"/>
      <c r="G8" s="196"/>
      <c r="H8" s="196"/>
      <c r="I8" s="197"/>
    </row>
    <row r="9" customFormat="false" ht="24" hidden="false" customHeight="true" outlineLevel="0" collapsed="false">
      <c r="A9" s="38"/>
      <c r="B9" s="193"/>
      <c r="C9" s="180" t="str">
        <f aca="false">IF(ISBLANK($B9),"",MOD($B9-1,DaysPerMonth)+1&amp;" "&amp;CHOOSE(INT(($B9-1)/DaysPerMonth)+1,"Jan","Feb","Mar","Apr","May","Jun","Jul","Aug","Sep","Oct","Nov","Dec"))</f>
        <v/>
      </c>
      <c r="D9" s="194"/>
      <c r="E9" s="194"/>
      <c r="F9" s="194"/>
      <c r="G9" s="194"/>
      <c r="H9" s="194"/>
      <c r="I9" s="195"/>
    </row>
    <row r="10" customFormat="false" ht="24" hidden="false" customHeight="true" outlineLevel="0" collapsed="false">
      <c r="A10" s="45"/>
      <c r="B10" s="111"/>
      <c r="C10" s="156" t="str">
        <f aca="false">IF(ISBLANK($B10),"",MOD($B10-1,DaysPerMonth)+1&amp;" "&amp;CHOOSE(INT(($B10-1)/DaysPerMonth)+1,"Jan","Feb","Mar","Apr","May","Jun","Jul","Aug","Sep","Oct","Nov","Dec"))</f>
        <v/>
      </c>
      <c r="D10" s="196"/>
      <c r="E10" s="196"/>
      <c r="F10" s="196"/>
      <c r="G10" s="196"/>
      <c r="H10" s="196"/>
      <c r="I10" s="197"/>
    </row>
    <row r="11" customFormat="false" ht="24" hidden="false" customHeight="true" outlineLevel="0" collapsed="false">
      <c r="A11" s="38"/>
      <c r="B11" s="193"/>
      <c r="C11" s="180" t="str">
        <f aca="false">IF(ISBLANK($B11),"",MOD($B11-1,DaysPerMonth)+1&amp;" "&amp;CHOOSE(INT(($B11-1)/DaysPerMonth)+1,"Jan","Feb","Mar","Apr","May","Jun","Jul","Aug","Sep","Oct","Nov","Dec"))</f>
        <v/>
      </c>
      <c r="D11" s="194"/>
      <c r="E11" s="194"/>
      <c r="F11" s="194"/>
      <c r="G11" s="194"/>
      <c r="H11" s="194"/>
      <c r="I11" s="195"/>
    </row>
    <row r="12" customFormat="false" ht="24" hidden="false" customHeight="true" outlineLevel="0" collapsed="false">
      <c r="A12" s="45"/>
      <c r="B12" s="111"/>
      <c r="C12" s="156" t="str">
        <f aca="false">IF(ISBLANK($B12),"",MOD($B12-1,DaysPerMonth)+1&amp;" "&amp;CHOOSE(INT(($B12-1)/DaysPerMonth)+1,"Jan","Feb","Mar","Apr","May","Jun","Jul","Aug","Sep","Oct","Nov","Dec"))</f>
        <v/>
      </c>
      <c r="D12" s="196"/>
      <c r="E12" s="196"/>
      <c r="F12" s="196"/>
      <c r="G12" s="196"/>
      <c r="H12" s="196"/>
      <c r="I12" s="197"/>
    </row>
    <row r="13" customFormat="false" ht="24" hidden="false" customHeight="true" outlineLevel="0" collapsed="false">
      <c r="A13" s="38"/>
      <c r="B13" s="193"/>
      <c r="C13" s="180" t="str">
        <f aca="false">IF(ISBLANK($B13),"",MOD($B13-1,DaysPerMonth)+1&amp;" "&amp;CHOOSE(INT(($B13-1)/DaysPerMonth)+1,"Jan","Feb","Mar","Apr","May","Jun","Jul","Aug","Sep","Oct","Nov","Dec"))</f>
        <v/>
      </c>
      <c r="D13" s="194"/>
      <c r="E13" s="194"/>
      <c r="F13" s="194"/>
      <c r="G13" s="194"/>
      <c r="H13" s="194"/>
      <c r="I13" s="195"/>
    </row>
    <row r="14" customFormat="false" ht="24" hidden="false" customHeight="true" outlineLevel="0" collapsed="false">
      <c r="A14" s="45"/>
      <c r="B14" s="111"/>
      <c r="C14" s="156" t="str">
        <f aca="false">IF(ISBLANK($B14),"",MOD($B14-1,DaysPerMonth)+1&amp;" "&amp;CHOOSE(INT(($B14-1)/DaysPerMonth)+1,"Jan","Feb","Mar","Apr","May","Jun","Jul","Aug","Sep","Oct","Nov","Dec"))</f>
        <v/>
      </c>
      <c r="D14" s="196"/>
      <c r="E14" s="196"/>
      <c r="F14" s="196"/>
      <c r="G14" s="196"/>
      <c r="H14" s="196"/>
      <c r="I14" s="197"/>
    </row>
    <row r="15" customFormat="false" ht="15" hidden="true" customHeight="true" outlineLevel="0" collapsed="false">
      <c r="A15" s="38"/>
      <c r="B15" s="193"/>
      <c r="C15" s="180" t="str">
        <f aca="false">IF(ISBLANK($B15),"",MOD($B15-1,DaysPerMonth)+1&amp;" "&amp;CHOOSE(INT(($B15-1)/DaysPerMonth)+1,"Jan","Feb","Mar","Apr","May","Jun","Jul","Aug","Sep","Oct","Nov","Dec"))</f>
        <v/>
      </c>
      <c r="D15" s="194"/>
      <c r="E15" s="194"/>
      <c r="F15" s="194"/>
      <c r="G15" s="194"/>
      <c r="H15" s="194"/>
      <c r="I15" s="195"/>
    </row>
    <row r="16" customFormat="false" ht="15" hidden="true" customHeight="true" outlineLevel="0" collapsed="false">
      <c r="A16" s="45"/>
      <c r="B16" s="111"/>
      <c r="C16" s="156" t="str">
        <f aca="false">IF(ISBLANK($B16),"",MOD($B16-1,DaysPerMonth)+1&amp;" "&amp;CHOOSE(INT(($B16-1)/DaysPerMonth)+1,"Jan","Feb","Mar","Apr","May","Jun","Jul","Aug","Sep","Oct","Nov","Dec"))</f>
        <v/>
      </c>
      <c r="D16" s="196"/>
      <c r="E16" s="196"/>
      <c r="F16" s="196"/>
      <c r="G16" s="196"/>
      <c r="H16" s="196"/>
      <c r="I16" s="197"/>
    </row>
    <row r="17" customFormat="false" ht="15" hidden="true" customHeight="true" outlineLevel="0" collapsed="false">
      <c r="A17" s="38"/>
      <c r="B17" s="193"/>
      <c r="C17" s="180" t="str">
        <f aca="false">IF(ISBLANK($B17),"",MOD($B17-1,DaysPerMonth)+1&amp;" "&amp;CHOOSE(INT(($B17-1)/DaysPerMonth)+1,"Jan","Feb","Mar","Apr","May","Jun","Jul","Aug","Sep","Oct","Nov","Dec"))</f>
        <v/>
      </c>
      <c r="D17" s="194"/>
      <c r="E17" s="194"/>
      <c r="F17" s="194"/>
      <c r="G17" s="194"/>
      <c r="H17" s="194"/>
      <c r="I17" s="195"/>
    </row>
    <row r="18" customFormat="false" ht="15" hidden="true" customHeight="true" outlineLevel="0" collapsed="false">
      <c r="A18" s="45"/>
      <c r="B18" s="111"/>
      <c r="C18" s="156" t="str">
        <f aca="false">IF(ISBLANK($B18),"",MOD($B18-1,DaysPerMonth)+1&amp;" "&amp;CHOOSE(INT(($B18-1)/DaysPerMonth)+1,"Jan","Feb","Mar","Apr","May","Jun","Jul","Aug","Sep","Oct","Nov","Dec"))</f>
        <v/>
      </c>
      <c r="D18" s="196"/>
      <c r="E18" s="196"/>
      <c r="F18" s="196"/>
      <c r="G18" s="196"/>
      <c r="H18" s="196"/>
      <c r="I18" s="197"/>
    </row>
    <row r="19" customFormat="false" ht="15" hidden="true" customHeight="true" outlineLevel="0" collapsed="false">
      <c r="A19" s="38"/>
      <c r="B19" s="193"/>
      <c r="C19" s="180" t="str">
        <f aca="false">IF(ISBLANK($B19),"",MOD($B19-1,DaysPerMonth)+1&amp;" "&amp;CHOOSE(INT(($B19-1)/DaysPerMonth)+1,"Jan","Feb","Mar","Apr","May","Jun","Jul","Aug","Sep","Oct","Nov","Dec"))</f>
        <v/>
      </c>
      <c r="D19" s="194"/>
      <c r="E19" s="194"/>
      <c r="F19" s="194"/>
      <c r="G19" s="194"/>
      <c r="H19" s="194"/>
      <c r="I19" s="195"/>
    </row>
    <row r="20" customFormat="false" ht="15" hidden="true" customHeight="true" outlineLevel="0" collapsed="false">
      <c r="A20" s="45"/>
      <c r="B20" s="111"/>
      <c r="C20" s="156" t="str">
        <f aca="false">IF(ISBLANK($B20),"",MOD($B20-1,DaysPerMonth)+1&amp;" "&amp;CHOOSE(INT(($B20-1)/DaysPerMonth)+1,"Jan","Feb","Mar","Apr","May","Jun","Jul","Aug","Sep","Oct","Nov","Dec"))</f>
        <v/>
      </c>
      <c r="D20" s="196"/>
      <c r="E20" s="196"/>
      <c r="F20" s="196"/>
      <c r="G20" s="196"/>
      <c r="H20" s="196"/>
      <c r="I20" s="197"/>
    </row>
    <row r="21" customFormat="false" ht="15" hidden="true" customHeight="true" outlineLevel="0" collapsed="false">
      <c r="A21" s="38"/>
      <c r="B21" s="193"/>
      <c r="C21" s="180" t="str">
        <f aca="false">IF(ISBLANK($B21),"",MOD($B21-1,DaysPerMonth)+1&amp;" "&amp;CHOOSE(INT(($B21-1)/DaysPerMonth)+1,"Jan","Feb","Mar","Apr","May","Jun","Jul","Aug","Sep","Oct","Nov","Dec"))</f>
        <v/>
      </c>
      <c r="D21" s="194"/>
      <c r="E21" s="194"/>
      <c r="F21" s="194"/>
      <c r="G21" s="194"/>
      <c r="H21" s="194"/>
      <c r="I21" s="195"/>
    </row>
    <row r="22" customFormat="false" ht="15" hidden="true" customHeight="true" outlineLevel="0" collapsed="false">
      <c r="A22" s="45"/>
      <c r="B22" s="111"/>
      <c r="C22" s="156" t="str">
        <f aca="false">IF(ISBLANK($B22),"",MOD($B22-1,DaysPerMonth)+1&amp;" "&amp;CHOOSE(INT(($B22-1)/DaysPerMonth)+1,"Jan","Feb","Mar","Apr","May","Jun","Jul","Aug","Sep","Oct","Nov","Dec"))</f>
        <v/>
      </c>
      <c r="D22" s="196"/>
      <c r="E22" s="196"/>
      <c r="F22" s="196"/>
      <c r="G22" s="196"/>
      <c r="H22" s="196"/>
      <c r="I22" s="197"/>
    </row>
    <row r="23" customFormat="false" ht="15" hidden="true" customHeight="true" outlineLevel="0" collapsed="false">
      <c r="A23" s="38"/>
      <c r="B23" s="193"/>
      <c r="C23" s="180" t="str">
        <f aca="false">IF(ISBLANK($B23),"",MOD($B23-1,DaysPerMonth)+1&amp;" "&amp;CHOOSE(INT(($B23-1)/DaysPerMonth)+1,"Jan","Feb","Mar","Apr","May","Jun","Jul","Aug","Sep","Oct","Nov","Dec"))</f>
        <v/>
      </c>
      <c r="D23" s="194"/>
      <c r="E23" s="194"/>
      <c r="F23" s="194"/>
      <c r="G23" s="194"/>
      <c r="H23" s="194"/>
      <c r="I23" s="195"/>
    </row>
    <row r="24" customFormat="false" ht="15" hidden="true" customHeight="true" outlineLevel="0" collapsed="false">
      <c r="A24" s="45"/>
      <c r="B24" s="111"/>
      <c r="C24" s="156" t="str">
        <f aca="false">IF(ISBLANK($B24),"",MOD($B24-1,DaysPerMonth)+1&amp;" "&amp;CHOOSE(INT(($B24-1)/DaysPerMonth)+1,"Jan","Feb","Mar","Apr","May","Jun","Jul","Aug","Sep","Oct","Nov","Dec"))</f>
        <v/>
      </c>
      <c r="D24" s="196"/>
      <c r="E24" s="196"/>
      <c r="F24" s="196"/>
      <c r="G24" s="196"/>
      <c r="H24" s="196"/>
      <c r="I24" s="197"/>
    </row>
    <row r="25" customFormat="false" ht="15" hidden="true" customHeight="true" outlineLevel="0" collapsed="false">
      <c r="A25" s="38"/>
      <c r="B25" s="193"/>
      <c r="C25" s="180" t="str">
        <f aca="false">IF(ISBLANK($B25),"",MOD($B25-1,DaysPerMonth)+1&amp;" "&amp;CHOOSE(INT(($B25-1)/DaysPerMonth)+1,"Jan","Feb","Mar","Apr","May","Jun","Jul","Aug","Sep","Oct","Nov","Dec"))</f>
        <v/>
      </c>
      <c r="D25" s="194"/>
      <c r="E25" s="194"/>
      <c r="F25" s="194"/>
      <c r="G25" s="194"/>
      <c r="H25" s="194"/>
      <c r="I25" s="195"/>
    </row>
    <row r="26" customFormat="false" ht="15" hidden="true" customHeight="true" outlineLevel="0" collapsed="false">
      <c r="A26" s="45"/>
      <c r="B26" s="111"/>
      <c r="C26" s="156" t="str">
        <f aca="false">IF(ISBLANK($B26),"",MOD($B26-1,DaysPerMonth)+1&amp;" "&amp;CHOOSE(INT(($B26-1)/DaysPerMonth)+1,"Jan","Feb","Mar","Apr","May","Jun","Jul","Aug","Sep","Oct","Nov","Dec"))</f>
        <v/>
      </c>
      <c r="D26" s="196"/>
      <c r="E26" s="196"/>
      <c r="F26" s="196"/>
      <c r="G26" s="196"/>
      <c r="H26" s="196"/>
      <c r="I26" s="197"/>
    </row>
    <row r="27" customFormat="false" ht="15" hidden="true" customHeight="true" outlineLevel="0" collapsed="false">
      <c r="A27" s="38"/>
      <c r="B27" s="193"/>
      <c r="C27" s="180" t="str">
        <f aca="false">IF(ISBLANK($B27),"",MOD($B27-1,DaysPerMonth)+1&amp;" "&amp;CHOOSE(INT(($B27-1)/DaysPerMonth)+1,"Jan","Feb","Mar","Apr","May","Jun","Jul","Aug","Sep","Oct","Nov","Dec"))</f>
        <v/>
      </c>
      <c r="D27" s="194"/>
      <c r="E27" s="194"/>
      <c r="F27" s="194"/>
      <c r="G27" s="194"/>
      <c r="H27" s="194"/>
      <c r="I27" s="195"/>
    </row>
    <row r="28" customFormat="false" ht="15" hidden="true" customHeight="true" outlineLevel="0" collapsed="false">
      <c r="A28" s="45"/>
      <c r="B28" s="111"/>
      <c r="C28" s="156" t="str">
        <f aca="false">IF(ISBLANK($B28),"",MOD($B28-1,DaysPerMonth)+1&amp;" "&amp;CHOOSE(INT(($B28-1)/DaysPerMonth)+1,"Jan","Feb","Mar","Apr","May","Jun","Jul","Aug","Sep","Oct","Nov","Dec"))</f>
        <v/>
      </c>
      <c r="D28" s="196"/>
      <c r="E28" s="196"/>
      <c r="F28" s="196"/>
      <c r="G28" s="196"/>
      <c r="H28" s="196"/>
      <c r="I28" s="197"/>
    </row>
    <row r="29" customFormat="false" ht="15" hidden="true" customHeight="true" outlineLevel="0" collapsed="false">
      <c r="A29" s="38"/>
      <c r="B29" s="193"/>
      <c r="C29" s="180" t="str">
        <f aca="false">IF(ISBLANK($B29),"",MOD($B29-1,DaysPerMonth)+1&amp;" "&amp;CHOOSE(INT(($B29-1)/DaysPerMonth)+1,"Jan","Feb","Mar","Apr","May","Jun","Jul","Aug","Sep","Oct","Nov","Dec"))</f>
        <v/>
      </c>
      <c r="D29" s="194"/>
      <c r="E29" s="194"/>
      <c r="F29" s="194"/>
      <c r="G29" s="194"/>
      <c r="H29" s="194"/>
      <c r="I29" s="195"/>
    </row>
    <row r="30" customFormat="false" ht="15" hidden="true" customHeight="true" outlineLevel="0" collapsed="false">
      <c r="A30" s="45"/>
      <c r="B30" s="111"/>
      <c r="C30" s="156" t="str">
        <f aca="false">IF(ISBLANK($B30),"",MOD($B30-1,DaysPerMonth)+1&amp;" "&amp;CHOOSE(INT(($B30-1)/DaysPerMonth)+1,"Jan","Feb","Mar","Apr","May","Jun","Jul","Aug","Sep","Oct","Nov","Dec"))</f>
        <v/>
      </c>
      <c r="D30" s="196"/>
      <c r="E30" s="196"/>
      <c r="F30" s="196"/>
      <c r="G30" s="196"/>
      <c r="H30" s="196"/>
      <c r="I30" s="197"/>
    </row>
    <row r="31" customFormat="false" ht="15" hidden="true" customHeight="true" outlineLevel="0" collapsed="false">
      <c r="A31" s="38"/>
      <c r="B31" s="193"/>
      <c r="C31" s="180" t="str">
        <f aca="false">IF(ISBLANK($B31),"",MOD($B31-1,DaysPerMonth)+1&amp;" "&amp;CHOOSE(INT(($B31-1)/DaysPerMonth)+1,"Jan","Feb","Mar","Apr","May","Jun","Jul","Aug","Sep","Oct","Nov","Dec"))</f>
        <v/>
      </c>
      <c r="D31" s="194"/>
      <c r="E31" s="194"/>
      <c r="F31" s="194"/>
      <c r="G31" s="194"/>
      <c r="H31" s="194"/>
      <c r="I31" s="195"/>
    </row>
    <row r="32" customFormat="false" ht="15" hidden="true" customHeight="true" outlineLevel="0" collapsed="false">
      <c r="A32" s="45"/>
      <c r="B32" s="111"/>
      <c r="C32" s="156" t="str">
        <f aca="false">IF(ISBLANK($B32),"",MOD($B32-1,DaysPerMonth)+1&amp;" "&amp;CHOOSE(INT(($B32-1)/DaysPerMonth)+1,"Jan","Feb","Mar","Apr","May","Jun","Jul","Aug","Sep","Oct","Nov","Dec"))</f>
        <v/>
      </c>
      <c r="D32" s="196"/>
      <c r="E32" s="196"/>
      <c r="F32" s="196"/>
      <c r="G32" s="196"/>
      <c r="H32" s="196"/>
      <c r="I32" s="197"/>
    </row>
    <row r="33" customFormat="false" ht="15" hidden="true" customHeight="true" outlineLevel="0" collapsed="false">
      <c r="A33" s="38"/>
      <c r="B33" s="193"/>
      <c r="C33" s="180" t="str">
        <f aca="false">IF(ISBLANK($B33),"",MOD($B33-1,DaysPerMonth)+1&amp;" "&amp;CHOOSE(INT(($B33-1)/DaysPerMonth)+1,"Jan","Feb","Mar","Apr","May","Jun","Jul","Aug","Sep","Oct","Nov","Dec"))</f>
        <v/>
      </c>
      <c r="D33" s="194"/>
      <c r="E33" s="194"/>
      <c r="F33" s="194"/>
      <c r="G33" s="194"/>
      <c r="H33" s="194"/>
      <c r="I33" s="195"/>
    </row>
    <row r="34" customFormat="false" ht="15" hidden="true" customHeight="true" outlineLevel="0" collapsed="false">
      <c r="A34" s="45"/>
      <c r="B34" s="111"/>
      <c r="C34" s="156" t="str">
        <f aca="false">IF(ISBLANK($B34),"",MOD($B34-1,DaysPerMonth)+1&amp;" "&amp;CHOOSE(INT(($B34-1)/DaysPerMonth)+1,"Jan","Feb","Mar","Apr","May","Jun","Jul","Aug","Sep","Oct","Nov","Dec"))</f>
        <v/>
      </c>
      <c r="D34" s="196"/>
      <c r="E34" s="196"/>
      <c r="F34" s="196"/>
      <c r="G34" s="196"/>
      <c r="H34" s="196"/>
      <c r="I34" s="197"/>
    </row>
  </sheetData>
  <mergeCells count="2">
    <mergeCell ref="A1:I1"/>
    <mergeCell ref="A2:I2"/>
  </mergeCells>
  <conditionalFormatting sqref="F5:F34">
    <cfRule type="expression" priority="2" aboveAverage="0" equalAverage="0" bottom="0" percent="0" rank="0" text="" dxfId="6">
      <formula>F5="Planted"</formula>
    </cfRule>
    <cfRule type="expression" priority="3" aboveAverage="0" equalAverage="0" bottom="0" percent="0" rank="0" text="" dxfId="4">
      <formula>F5="Harvested"</formula>
    </cfRule>
    <cfRule type="expression" priority="4" aboveAverage="0" equalAverage="0" bottom="0" percent="0" rank="0" text="" dxfId="5">
      <formula>F5="Died"</formula>
    </cfRule>
    <cfRule type="expression" priority="5" aboveAverage="0" equalAverage="0" bottom="0" percent="0" rank="0" text="" dxfId="7">
      <formula>F5="Damaged"</formula>
    </cfRule>
  </conditionalFormatting>
  <dataValidations count="3">
    <dataValidation allowBlank="true" errorStyle="stop" operator="between" showDropDown="false" showErrorMessage="false" showInputMessage="false" sqref="F5:F34" type="list">
      <formula1>"Tilled,Planted,Fertilized,Watered,Harvested,Damaged,Died,Note"</formula1>
      <formula2>0</formula2>
    </dataValidation>
    <dataValidation allowBlank="true" errorStyle="stop" operator="between" showDropDown="false" showErrorMessage="false" showInputMessage="false" sqref="G5:G34" type="list">
      <formula1>CropNames</formula1>
      <formula2>0</formula2>
    </dataValidation>
    <dataValidation allowBlank="true" errorStyle="stop" operator="between" showDropDown="false" showErrorMessage="false" showInputMessage="false" sqref="H5:H34" type="list">
      <formula1>"Potash,Saltpeter,Bonemeal,Compost"</formula1>
      <formula2>0</formula2>
    </dataValidation>
  </dataValidations>
  <printOptions headings="false" gridLines="false" gridLinesSet="true" horizontalCentered="false" verticalCentered="false"/>
  <pageMargins left="0.25" right="0.25" top="0.4" bottom="0.4"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C7E6A"/>
    <pageSetUpPr fitToPage="true"/>
  </sheetPr>
  <dimension ref="A1:D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6"/>
    <col collapsed="false" customWidth="true" hidden="false" outlineLevel="0" max="3" min="3" style="1" width="78"/>
    <col collapsed="false" customWidth="true" hidden="false" outlineLevel="0" max="4" min="4" style="1" width="28"/>
  </cols>
  <sheetData>
    <row r="1" customFormat="false" ht="36" hidden="false" customHeight="true" outlineLevel="0" collapsed="false">
      <c r="A1" s="2" t="s">
        <v>615</v>
      </c>
      <c r="B1" s="2"/>
      <c r="C1" s="2"/>
    </row>
    <row r="2" customFormat="false" ht="18" hidden="false" customHeight="true" outlineLevel="0" collapsed="false">
      <c r="A2" s="198"/>
      <c r="B2" s="20"/>
      <c r="C2" s="20"/>
    </row>
    <row r="3" customFormat="false" ht="24" hidden="false" customHeight="true" outlineLevel="0" collapsed="false">
      <c r="A3" s="5" t="s">
        <v>616</v>
      </c>
      <c r="B3" s="5"/>
      <c r="C3" s="5"/>
    </row>
    <row r="4" customFormat="false" ht="48" hidden="false" customHeight="true" outlineLevel="0" collapsed="false">
      <c r="A4" s="38"/>
      <c r="B4" s="199" t="s">
        <v>198</v>
      </c>
      <c r="C4" s="200" t="s">
        <v>617</v>
      </c>
      <c r="D4" s="201"/>
    </row>
    <row r="5" customFormat="false" ht="48" hidden="false" customHeight="true" outlineLevel="0" collapsed="false">
      <c r="A5" s="45"/>
      <c r="B5" s="202" t="s">
        <v>618</v>
      </c>
      <c r="C5" s="203" t="s">
        <v>619</v>
      </c>
      <c r="D5" s="201"/>
    </row>
    <row r="6" customFormat="false" ht="61.5" hidden="false" customHeight="true" outlineLevel="0" collapsed="false">
      <c r="A6" s="38"/>
      <c r="B6" s="199" t="s">
        <v>620</v>
      </c>
      <c r="C6" s="200" t="s">
        <v>621</v>
      </c>
      <c r="D6" s="201"/>
    </row>
    <row r="7" customFormat="false" ht="48" hidden="false" customHeight="true" outlineLevel="0" collapsed="false">
      <c r="A7" s="45"/>
      <c r="B7" s="202" t="s">
        <v>622</v>
      </c>
      <c r="C7" s="203" t="s">
        <v>623</v>
      </c>
      <c r="D7" s="201"/>
    </row>
    <row r="8" customFormat="false" ht="48" hidden="false" customHeight="true" outlineLevel="0" collapsed="false">
      <c r="A8" s="38"/>
      <c r="B8" s="199" t="s">
        <v>624</v>
      </c>
      <c r="C8" s="200" t="s">
        <v>625</v>
      </c>
      <c r="D8" s="201"/>
    </row>
    <row r="9" customFormat="false" ht="61.5" hidden="false" customHeight="true" outlineLevel="0" collapsed="false">
      <c r="A9" s="45"/>
      <c r="B9" s="202" t="s">
        <v>626</v>
      </c>
      <c r="C9" s="203" t="s">
        <v>627</v>
      </c>
      <c r="D9" s="201"/>
    </row>
    <row r="10" customFormat="false" ht="61.5" hidden="false" customHeight="true" outlineLevel="0" collapsed="false">
      <c r="A10" s="38"/>
      <c r="B10" s="199" t="s">
        <v>628</v>
      </c>
      <c r="C10" s="200" t="s">
        <v>629</v>
      </c>
      <c r="D10" s="201"/>
    </row>
    <row r="11" customFormat="false" ht="61.5" hidden="false" customHeight="true" outlineLevel="0" collapsed="false">
      <c r="A11" s="45"/>
      <c r="B11" s="202" t="s">
        <v>630</v>
      </c>
      <c r="C11" s="203" t="s">
        <v>631</v>
      </c>
      <c r="D11" s="201"/>
    </row>
    <row r="12" customFormat="false" ht="48" hidden="false" customHeight="true" outlineLevel="0" collapsed="false">
      <c r="A12" s="38"/>
      <c r="B12" s="199" t="s">
        <v>632</v>
      </c>
      <c r="C12" s="200" t="s">
        <v>633</v>
      </c>
      <c r="D12" s="201"/>
    </row>
    <row r="13" customFormat="false" ht="48" hidden="false" customHeight="true" outlineLevel="0" collapsed="false">
      <c r="A13" s="45"/>
      <c r="B13" s="202" t="s">
        <v>324</v>
      </c>
      <c r="C13" s="203" t="s">
        <v>634</v>
      </c>
      <c r="D13" s="201"/>
    </row>
    <row r="14" customFormat="false" ht="48" hidden="false" customHeight="true" outlineLevel="0" collapsed="false">
      <c r="A14" s="38"/>
      <c r="B14" s="199" t="s">
        <v>325</v>
      </c>
      <c r="C14" s="200" t="s">
        <v>635</v>
      </c>
      <c r="D14" s="201"/>
    </row>
    <row r="15" customFormat="false" ht="61.5" hidden="false" customHeight="true" outlineLevel="0" collapsed="false">
      <c r="A15" s="45"/>
      <c r="B15" s="202" t="s">
        <v>636</v>
      </c>
      <c r="C15" s="203" t="s">
        <v>637</v>
      </c>
      <c r="D15" s="201"/>
    </row>
    <row r="16" customFormat="false" ht="61.5" hidden="false" customHeight="true" outlineLevel="0" collapsed="false">
      <c r="A16" s="38"/>
      <c r="B16" s="199" t="s">
        <v>638</v>
      </c>
      <c r="C16" s="200" t="s">
        <v>639</v>
      </c>
      <c r="D16" s="201"/>
    </row>
    <row r="17" customFormat="false" ht="61.5" hidden="false" customHeight="true" outlineLevel="0" collapsed="false">
      <c r="A17" s="45"/>
      <c r="B17" s="202" t="s">
        <v>640</v>
      </c>
      <c r="C17" s="203" t="s">
        <v>641</v>
      </c>
      <c r="D17" s="201"/>
    </row>
    <row r="18" customFormat="false" ht="61.5" hidden="false" customHeight="true" outlineLevel="0" collapsed="false">
      <c r="A18" s="38"/>
      <c r="B18" s="199" t="s">
        <v>642</v>
      </c>
      <c r="C18" s="200" t="s">
        <v>643</v>
      </c>
      <c r="D18" s="201"/>
    </row>
    <row r="19" customFormat="false" ht="61.5" hidden="false" customHeight="true" outlineLevel="0" collapsed="false">
      <c r="A19" s="45"/>
      <c r="B19" s="202" t="s">
        <v>644</v>
      </c>
      <c r="C19" s="203" t="s">
        <v>645</v>
      </c>
      <c r="D19" s="201"/>
    </row>
    <row r="20" customFormat="false" ht="61.5" hidden="false" customHeight="true" outlineLevel="0" collapsed="false">
      <c r="A20" s="38"/>
      <c r="B20" s="199" t="s">
        <v>646</v>
      </c>
      <c r="C20" s="200" t="s">
        <v>647</v>
      </c>
      <c r="D20" s="201"/>
    </row>
    <row r="21" customFormat="false" ht="61.5" hidden="false" customHeight="true" outlineLevel="0" collapsed="false">
      <c r="A21" s="45"/>
      <c r="B21" s="202" t="s">
        <v>648</v>
      </c>
      <c r="C21" s="203" t="s">
        <v>649</v>
      </c>
      <c r="D21" s="201"/>
    </row>
    <row r="24" customFormat="false" ht="24" hidden="false" customHeight="true" outlineLevel="0" collapsed="false">
      <c r="A24" s="5" t="s">
        <v>650</v>
      </c>
      <c r="B24" s="5"/>
      <c r="C24" s="5"/>
    </row>
    <row r="25" customFormat="false" ht="24.75" hidden="false" customHeight="true" outlineLevel="0" collapsed="false">
      <c r="A25" s="45"/>
      <c r="B25" s="204" t="s">
        <v>651</v>
      </c>
      <c r="C25" s="118" t="s">
        <v>652</v>
      </c>
    </row>
    <row r="26" customFormat="false" ht="48" hidden="false" customHeight="true" outlineLevel="0" collapsed="false">
      <c r="A26" s="38"/>
      <c r="B26" s="199" t="s">
        <v>515</v>
      </c>
      <c r="C26" s="200" t="s">
        <v>653</v>
      </c>
      <c r="D26" s="201"/>
    </row>
    <row r="27" customFormat="false" ht="48" hidden="false" customHeight="true" outlineLevel="0" collapsed="false">
      <c r="A27" s="45"/>
      <c r="B27" s="202" t="s">
        <v>654</v>
      </c>
      <c r="C27" s="203" t="s">
        <v>655</v>
      </c>
      <c r="D27" s="201"/>
    </row>
    <row r="28" customFormat="false" ht="48" hidden="false" customHeight="true" outlineLevel="0" collapsed="false">
      <c r="A28" s="38"/>
      <c r="B28" s="199" t="s">
        <v>626</v>
      </c>
      <c r="C28" s="200" t="s">
        <v>656</v>
      </c>
      <c r="D28" s="201"/>
    </row>
    <row r="29" customFormat="false" ht="48" hidden="false" customHeight="true" outlineLevel="0" collapsed="false">
      <c r="A29" s="45"/>
      <c r="B29" s="202" t="s">
        <v>657</v>
      </c>
      <c r="C29" s="203" t="s">
        <v>658</v>
      </c>
      <c r="D29" s="201"/>
    </row>
    <row r="30" customFormat="false" ht="48" hidden="false" customHeight="true" outlineLevel="0" collapsed="false">
      <c r="A30" s="38"/>
      <c r="B30" s="199" t="s">
        <v>506</v>
      </c>
      <c r="C30" s="200" t="s">
        <v>659</v>
      </c>
      <c r="D30" s="201"/>
    </row>
    <row r="31" customFormat="false" ht="61.5" hidden="false" customHeight="true" outlineLevel="0" collapsed="false">
      <c r="A31" s="45"/>
      <c r="B31" s="202" t="s">
        <v>660</v>
      </c>
      <c r="C31" s="203" t="s">
        <v>661</v>
      </c>
      <c r="D31" s="201"/>
    </row>
    <row r="32" customFormat="false" ht="48" hidden="false" customHeight="true" outlineLevel="0" collapsed="false">
      <c r="A32" s="38"/>
      <c r="B32" s="199" t="s">
        <v>662</v>
      </c>
      <c r="C32" s="200" t="s">
        <v>663</v>
      </c>
      <c r="D32" s="201"/>
    </row>
    <row r="33" customFormat="false" ht="48" hidden="false" customHeight="true" outlineLevel="0" collapsed="false">
      <c r="A33" s="45"/>
      <c r="B33" s="202" t="s">
        <v>664</v>
      </c>
      <c r="C33" s="203" t="s">
        <v>665</v>
      </c>
      <c r="D33" s="201"/>
    </row>
    <row r="34" customFormat="false" ht="61.5" hidden="false" customHeight="true" outlineLevel="0" collapsed="false">
      <c r="A34" s="38"/>
      <c r="B34" s="199" t="s">
        <v>666</v>
      </c>
      <c r="C34" s="200" t="s">
        <v>667</v>
      </c>
      <c r="D34" s="201"/>
    </row>
    <row r="35" customFormat="false" ht="48" hidden="false" customHeight="true" outlineLevel="0" collapsed="false">
      <c r="A35" s="45"/>
      <c r="B35" s="202" t="s">
        <v>640</v>
      </c>
      <c r="C35" s="203" t="s">
        <v>668</v>
      </c>
      <c r="D35" s="201"/>
    </row>
    <row r="36" customFormat="false" ht="61.5" hidden="false" customHeight="true" outlineLevel="0" collapsed="false">
      <c r="A36" s="38"/>
      <c r="B36" s="199" t="s">
        <v>669</v>
      </c>
      <c r="C36" s="200" t="s">
        <v>670</v>
      </c>
      <c r="D36" s="201"/>
    </row>
    <row r="37" customFormat="false" ht="48" hidden="false" customHeight="true" outlineLevel="0" collapsed="false">
      <c r="A37" s="45"/>
      <c r="B37" s="202" t="s">
        <v>261</v>
      </c>
      <c r="C37" s="203" t="s">
        <v>671</v>
      </c>
      <c r="D37" s="201"/>
    </row>
    <row r="41" customFormat="false" ht="24" hidden="false" customHeight="true" outlineLevel="0" collapsed="false">
      <c r="A41" s="5" t="s">
        <v>49</v>
      </c>
      <c r="B41" s="5"/>
      <c r="C41" s="5"/>
    </row>
    <row r="42" customFormat="false" ht="48" hidden="false" customHeight="true" outlineLevel="0" collapsed="false">
      <c r="A42" s="38"/>
      <c r="B42" s="205" t="s">
        <v>672</v>
      </c>
      <c r="C42" s="200" t="s">
        <v>673</v>
      </c>
      <c r="D42" s="201"/>
    </row>
    <row r="43" customFormat="false" ht="48" hidden="false" customHeight="true" outlineLevel="0" collapsed="false">
      <c r="A43" s="45"/>
      <c r="B43" s="206" t="s">
        <v>674</v>
      </c>
      <c r="C43" s="203" t="s">
        <v>675</v>
      </c>
      <c r="D43" s="201"/>
    </row>
    <row r="44" customFormat="false" ht="48" hidden="false" customHeight="true" outlineLevel="0" collapsed="false">
      <c r="A44" s="38"/>
      <c r="B44" s="205" t="s">
        <v>676</v>
      </c>
      <c r="C44" s="200" t="s">
        <v>677</v>
      </c>
      <c r="D44" s="201"/>
    </row>
    <row r="45" customFormat="false" ht="48" hidden="false" customHeight="true" outlineLevel="0" collapsed="false">
      <c r="A45" s="45"/>
      <c r="B45" s="206" t="s">
        <v>678</v>
      </c>
      <c r="C45" s="203" t="s">
        <v>679</v>
      </c>
    </row>
    <row r="46" customFormat="false" ht="48" hidden="false" customHeight="true" outlineLevel="0" collapsed="false">
      <c r="A46" s="38"/>
      <c r="B46" s="205" t="s">
        <v>680</v>
      </c>
      <c r="C46" s="200" t="s">
        <v>681</v>
      </c>
      <c r="D46" s="201"/>
    </row>
    <row r="47" customFormat="false" ht="48" hidden="false" customHeight="true" outlineLevel="0" collapsed="false">
      <c r="A47" s="45"/>
      <c r="B47" s="206" t="s">
        <v>682</v>
      </c>
      <c r="C47" s="203" t="s">
        <v>683</v>
      </c>
      <c r="D47" s="201"/>
    </row>
    <row r="48" customFormat="false" ht="48" hidden="false" customHeight="true" outlineLevel="0" collapsed="false">
      <c r="A48" s="38"/>
      <c r="B48" s="205" t="s">
        <v>684</v>
      </c>
      <c r="C48" s="200" t="s">
        <v>685</v>
      </c>
      <c r="D48" s="201"/>
    </row>
    <row r="50" customFormat="false" ht="36" hidden="false" customHeight="true" outlineLevel="0" collapsed="false">
      <c r="A50" s="5" t="s">
        <v>686</v>
      </c>
      <c r="B50" s="5"/>
      <c r="C50" s="5"/>
      <c r="D50" s="5"/>
    </row>
    <row r="51" customFormat="false" ht="48" hidden="false" customHeight="true" outlineLevel="0" collapsed="false">
      <c r="A51" s="207"/>
      <c r="B51" s="208" t="s">
        <v>687</v>
      </c>
      <c r="C51" s="208"/>
      <c r="D51" s="208"/>
    </row>
    <row r="52" customFormat="false" ht="21.75" hidden="false" customHeight="true" outlineLevel="0" collapsed="false">
      <c r="A52" s="207"/>
      <c r="B52" s="37" t="s">
        <v>688</v>
      </c>
      <c r="C52" s="37" t="s">
        <v>689</v>
      </c>
      <c r="D52" s="37" t="s">
        <v>567</v>
      </c>
    </row>
    <row r="53" customFormat="false" ht="37.5" hidden="false" customHeight="true" outlineLevel="0" collapsed="false">
      <c r="A53" s="207"/>
      <c r="B53" s="209" t="s">
        <v>690</v>
      </c>
      <c r="C53" s="210" t="s">
        <v>691</v>
      </c>
      <c r="D53" s="211" t="s">
        <v>692</v>
      </c>
    </row>
    <row r="54" customFormat="false" ht="37.5" hidden="false" customHeight="true" outlineLevel="0" collapsed="false">
      <c r="A54" s="207"/>
      <c r="B54" s="212" t="s">
        <v>693</v>
      </c>
      <c r="C54" s="213" t="s">
        <v>694</v>
      </c>
      <c r="D54" s="211" t="s">
        <v>692</v>
      </c>
    </row>
    <row r="55" customFormat="false" ht="37.5" hidden="false" customHeight="true" outlineLevel="0" collapsed="false">
      <c r="A55" s="207"/>
      <c r="B55" s="209" t="s">
        <v>695</v>
      </c>
      <c r="C55" s="210" t="s">
        <v>696</v>
      </c>
      <c r="D55" s="211" t="s">
        <v>692</v>
      </c>
    </row>
    <row r="56" customFormat="false" ht="61.5" hidden="false" customHeight="true" outlineLevel="0" collapsed="false">
      <c r="A56" s="207"/>
      <c r="B56" s="214" t="s">
        <v>697</v>
      </c>
      <c r="C56" s="215" t="s">
        <v>698</v>
      </c>
      <c r="D56" s="216" t="s">
        <v>699</v>
      </c>
    </row>
    <row r="57" customFormat="false" ht="48" hidden="false" customHeight="true" outlineLevel="0" collapsed="false">
      <c r="A57" s="207"/>
      <c r="B57" s="217" t="s">
        <v>700</v>
      </c>
      <c r="C57" s="218" t="s">
        <v>701</v>
      </c>
      <c r="D57" s="219" t="s">
        <v>692</v>
      </c>
    </row>
    <row r="58" customFormat="false" ht="48" hidden="false" customHeight="true" outlineLevel="0" collapsed="false">
      <c r="A58" s="207"/>
      <c r="B58" s="214" t="s">
        <v>702</v>
      </c>
      <c r="C58" s="215" t="s">
        <v>703</v>
      </c>
      <c r="D58" s="220" t="s">
        <v>704</v>
      </c>
    </row>
    <row r="59" customFormat="false" ht="48" hidden="false" customHeight="true" outlineLevel="0" collapsed="false">
      <c r="A59" s="207"/>
      <c r="B59" s="217" t="s">
        <v>705</v>
      </c>
      <c r="C59" s="218" t="s">
        <v>706</v>
      </c>
      <c r="D59" s="219" t="s">
        <v>692</v>
      </c>
    </row>
    <row r="60" customFormat="false" ht="61.5" hidden="false" customHeight="true" outlineLevel="0" collapsed="false">
      <c r="A60" s="207"/>
      <c r="B60" s="221" t="s">
        <v>707</v>
      </c>
      <c r="C60" s="222" t="s">
        <v>708</v>
      </c>
      <c r="D60" s="222"/>
    </row>
    <row r="61" customFormat="false" ht="30" hidden="false" customHeight="true" outlineLevel="0" collapsed="false">
      <c r="A61" s="207"/>
      <c r="B61" s="207"/>
      <c r="C61" s="207"/>
      <c r="D61" s="207"/>
    </row>
    <row r="62" customFormat="false" ht="21.75" hidden="false" customHeight="true" outlineLevel="0" collapsed="false">
      <c r="A62" s="223" t="s">
        <v>709</v>
      </c>
      <c r="B62" s="223"/>
      <c r="C62" s="223"/>
      <c r="D62" s="223"/>
    </row>
    <row r="63" customFormat="false" ht="37.5" hidden="false" customHeight="true" outlineLevel="0" collapsed="false">
      <c r="A63" s="224" t="s">
        <v>710</v>
      </c>
      <c r="B63" s="224"/>
      <c r="C63" s="224"/>
      <c r="D63" s="224"/>
    </row>
    <row r="65" customFormat="false" ht="31.5" hidden="false" customHeight="true" outlineLevel="0" collapsed="false">
      <c r="B65" s="225" t="s">
        <v>711</v>
      </c>
      <c r="C65" s="226" t="s">
        <v>712</v>
      </c>
      <c r="D65" s="227" t="s">
        <v>713</v>
      </c>
    </row>
    <row r="66" customFormat="false" ht="31.5" hidden="false" customHeight="true" outlineLevel="0" collapsed="false">
      <c r="A66" s="228"/>
      <c r="B66" s="229" t="s">
        <v>714</v>
      </c>
      <c r="C66" s="230" t="s">
        <v>715</v>
      </c>
      <c r="D66" s="231" t="s">
        <v>716</v>
      </c>
    </row>
    <row r="67" customFormat="false" ht="31.5" hidden="false" customHeight="true" outlineLevel="0" collapsed="false">
      <c r="B67" s="225" t="s">
        <v>717</v>
      </c>
      <c r="C67" s="226" t="s">
        <v>718</v>
      </c>
      <c r="D67" s="227" t="s">
        <v>719</v>
      </c>
    </row>
    <row r="68" customFormat="false" ht="31.5" hidden="false" customHeight="true" outlineLevel="0" collapsed="false">
      <c r="A68" s="228"/>
      <c r="B68" s="229" t="s">
        <v>720</v>
      </c>
      <c r="C68" s="230" t="s">
        <v>721</v>
      </c>
      <c r="D68" s="231" t="s">
        <v>722</v>
      </c>
    </row>
    <row r="69" customFormat="false" ht="31.5" hidden="false" customHeight="true" outlineLevel="0" collapsed="false">
      <c r="B69" s="225" t="s">
        <v>723</v>
      </c>
      <c r="C69" s="226" t="s">
        <v>724</v>
      </c>
      <c r="D69" s="227" t="s">
        <v>725</v>
      </c>
    </row>
    <row r="71" customFormat="false" ht="18" hidden="false" customHeight="true" outlineLevel="0" collapsed="false">
      <c r="A71" s="232" t="s">
        <v>726</v>
      </c>
      <c r="B71" s="232"/>
      <c r="C71" s="232"/>
      <c r="D71" s="232"/>
    </row>
    <row r="72" customFormat="false" ht="55.5" hidden="false" customHeight="true" outlineLevel="0" collapsed="false">
      <c r="B72" s="225" t="s">
        <v>727</v>
      </c>
      <c r="C72" s="226" t="s">
        <v>728</v>
      </c>
      <c r="D72" s="227" t="s">
        <v>729</v>
      </c>
    </row>
    <row r="73" customFormat="false" ht="55.5" hidden="false" customHeight="true" outlineLevel="0" collapsed="false">
      <c r="A73" s="228"/>
      <c r="B73" s="229" t="s">
        <v>730</v>
      </c>
      <c r="C73" s="230" t="s">
        <v>731</v>
      </c>
      <c r="D73" s="231" t="s">
        <v>732</v>
      </c>
    </row>
    <row r="75" customFormat="false" ht="30" hidden="false" customHeight="true" outlineLevel="0" collapsed="false">
      <c r="A75" s="233" t="s">
        <v>733</v>
      </c>
      <c r="B75" s="233"/>
      <c r="C75" s="233"/>
      <c r="D75" s="233"/>
    </row>
    <row r="77" customFormat="false" ht="21.75" hidden="false" customHeight="true" outlineLevel="0" collapsed="false">
      <c r="A77" s="223" t="s">
        <v>734</v>
      </c>
      <c r="B77" s="223"/>
      <c r="C77" s="223"/>
      <c r="D77" s="223"/>
    </row>
    <row r="78" customFormat="false" ht="48" hidden="false" customHeight="true" outlineLevel="0" collapsed="false">
      <c r="A78" s="224" t="s">
        <v>735</v>
      </c>
      <c r="B78" s="224"/>
      <c r="C78" s="224"/>
      <c r="D78" s="224"/>
    </row>
    <row r="80" customFormat="false" ht="36" hidden="false" customHeight="true" outlineLevel="0" collapsed="false">
      <c r="B80" s="225" t="s">
        <v>736</v>
      </c>
      <c r="C80" s="226" t="s">
        <v>737</v>
      </c>
      <c r="D80" s="227" t="s">
        <v>738</v>
      </c>
    </row>
    <row r="81" customFormat="false" ht="36" hidden="false" customHeight="true" outlineLevel="0" collapsed="false">
      <c r="A81" s="234"/>
      <c r="B81" s="235" t="s">
        <v>739</v>
      </c>
      <c r="C81" s="236" t="s">
        <v>740</v>
      </c>
      <c r="D81" s="237" t="s">
        <v>741</v>
      </c>
    </row>
    <row r="82" customFormat="false" ht="36" hidden="false" customHeight="true" outlineLevel="0" collapsed="false">
      <c r="A82" s="234"/>
      <c r="B82" s="235" t="s">
        <v>742</v>
      </c>
      <c r="C82" s="236" t="s">
        <v>743</v>
      </c>
      <c r="D82" s="237" t="s">
        <v>744</v>
      </c>
    </row>
    <row r="83" customFormat="false" ht="36" hidden="false" customHeight="true" outlineLevel="0" collapsed="false">
      <c r="A83" s="228"/>
      <c r="B83" s="229" t="s">
        <v>745</v>
      </c>
      <c r="C83" s="230" t="s">
        <v>746</v>
      </c>
      <c r="D83" s="231" t="s">
        <v>747</v>
      </c>
    </row>
    <row r="84" customFormat="false" ht="36" hidden="false" customHeight="true" outlineLevel="0" collapsed="false">
      <c r="A84" s="234"/>
      <c r="B84" s="235" t="s">
        <v>748</v>
      </c>
      <c r="C84" s="236" t="s">
        <v>749</v>
      </c>
      <c r="D84" s="237" t="s">
        <v>750</v>
      </c>
    </row>
    <row r="86" customFormat="false" ht="60" hidden="false" customHeight="true" outlineLevel="0" collapsed="false">
      <c r="A86" s="224" t="s">
        <v>751</v>
      </c>
      <c r="B86" s="224"/>
      <c r="C86" s="224"/>
      <c r="D86" s="224"/>
    </row>
  </sheetData>
  <mergeCells count="14">
    <mergeCell ref="A1:C1"/>
    <mergeCell ref="A3:C3"/>
    <mergeCell ref="A24:C24"/>
    <mergeCell ref="A41:C41"/>
    <mergeCell ref="A50:D50"/>
    <mergeCell ref="B51:D51"/>
    <mergeCell ref="C60:D60"/>
    <mergeCell ref="A62:D62"/>
    <mergeCell ref="A63:D63"/>
    <mergeCell ref="A71:D71"/>
    <mergeCell ref="A75:D75"/>
    <mergeCell ref="A77:D77"/>
    <mergeCell ref="A78:D78"/>
    <mergeCell ref="A86:D86"/>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2026-05-01T04:13:36Z</dcterms:created>
  <dc:creator>openpyxl</dc:creator>
  <dc:description/>
  <dc:language>en-US</dc:language>
  <cp:lastModifiedBy/>
  <dcterms:modified xsi:type="dcterms:W3CDTF">2026-05-03T05:25:30Z</dcterms:modified>
  <cp:revision>13</cp:revision>
  <dc:subject/>
  <dc:title/>
</cp:coreProperties>
</file>

<file path=docProps/custom.xml><?xml version="1.0" encoding="utf-8"?>
<Properties xmlns="http://schemas.openxmlformats.org/officeDocument/2006/custom-properties" xmlns:vt="http://schemas.openxmlformats.org/officeDocument/2006/docPropsVTypes"/>
</file>