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rowth forecast" sheetId="5" r:id="rId1"/>
    <sheet name="Brand share" sheetId="2" r:id="rId2"/>
    <sheet name="Company share" sheetId="3" r:id="rId3"/>
    <sheet name="Value" sheetId="6" r:id="rId4"/>
    <sheet name="Exhibit 3" sheetId="4" r:id="rId5"/>
  </sheets>
  <calcPr calcId="144525"/>
</workbook>
</file>

<file path=xl/calcChain.xml><?xml version="1.0" encoding="utf-8"?>
<calcChain xmlns="http://schemas.openxmlformats.org/spreadsheetml/2006/main">
  <c r="E8" i="6" l="1"/>
  <c r="J18" i="6" l="1"/>
  <c r="J19" i="6" s="1"/>
  <c r="J20" i="6" s="1"/>
  <c r="J21" i="6" s="1"/>
  <c r="J22" i="6" s="1"/>
  <c r="J23" i="6" s="1"/>
  <c r="C13" i="6"/>
  <c r="B15" i="6"/>
  <c r="B3" i="6" s="1"/>
  <c r="B4" i="6" s="1"/>
  <c r="L42" i="5"/>
  <c r="L43" i="5"/>
  <c r="L44" i="5"/>
  <c r="L41" i="5"/>
  <c r="N44" i="5"/>
  <c r="N43" i="5"/>
  <c r="N42" i="5"/>
  <c r="N41" i="5"/>
  <c r="L39" i="5"/>
  <c r="L38" i="5"/>
  <c r="L35" i="5"/>
  <c r="L34" i="5"/>
  <c r="L33" i="5"/>
  <c r="L32" i="5"/>
  <c r="L31" i="5"/>
  <c r="E10" i="5"/>
  <c r="E13" i="5"/>
  <c r="E14" i="5"/>
  <c r="E15" i="5"/>
  <c r="E16" i="5"/>
  <c r="E4" i="5"/>
  <c r="E5" i="5"/>
  <c r="E6" i="5"/>
  <c r="E7" i="5"/>
  <c r="E8" i="5"/>
  <c r="E3" i="5"/>
  <c r="L28" i="5"/>
  <c r="L27" i="5"/>
  <c r="L26" i="5"/>
  <c r="L10" i="5"/>
  <c r="G22" i="5"/>
  <c r="G21" i="5"/>
  <c r="D19" i="5"/>
  <c r="F20" i="5"/>
  <c r="L23" i="5"/>
  <c r="D10" i="5"/>
  <c r="L12" i="5" s="1"/>
  <c r="D4" i="5"/>
  <c r="D5" i="5"/>
  <c r="D6" i="5"/>
  <c r="D7" i="5"/>
  <c r="D8" i="5"/>
  <c r="D13" i="5"/>
  <c r="L18" i="5" s="1"/>
  <c r="D14" i="5"/>
  <c r="D15" i="5"/>
  <c r="D16" i="5"/>
  <c r="D17" i="5"/>
  <c r="D3" i="5"/>
  <c r="L13" i="5" s="1"/>
  <c r="F19" i="5"/>
  <c r="B14" i="3"/>
  <c r="B10" i="3"/>
  <c r="B7" i="3"/>
  <c r="B3" i="3"/>
  <c r="B10" i="6" l="1"/>
  <c r="C15" i="6"/>
  <c r="L14" i="5"/>
  <c r="L20" i="5"/>
  <c r="L11" i="5"/>
  <c r="L15" i="5" s="1"/>
  <c r="E5" i="6"/>
  <c r="E15" i="6" s="1"/>
  <c r="E13" i="3"/>
  <c r="B18" i="3"/>
  <c r="E10" i="6" l="1"/>
  <c r="E13" i="6"/>
  <c r="E11" i="6"/>
  <c r="E16" i="6"/>
  <c r="E18" i="6" s="1"/>
  <c r="B7" i="6" l="1"/>
  <c r="B8" i="6"/>
  <c r="B9" i="6"/>
  <c r="E3" i="6"/>
  <c r="J30" i="3"/>
  <c r="J42" i="3" s="1"/>
  <c r="J43" i="3" s="1"/>
  <c r="J44" i="3" s="1"/>
  <c r="J34" i="3"/>
  <c r="J39" i="3"/>
  <c r="E7" i="6" l="1"/>
  <c r="E9" i="6"/>
  <c r="F17" i="2"/>
  <c r="D17" i="2"/>
  <c r="C9" i="2"/>
  <c r="F2" i="6" l="1"/>
  <c r="G2" i="6" s="1"/>
  <c r="F6" i="6"/>
  <c r="G6" i="6" s="1"/>
  <c r="D4" i="2"/>
  <c r="D7" i="2" s="1"/>
  <c r="F17" i="5"/>
  <c r="B34" i="3"/>
  <c r="B8" i="3"/>
  <c r="B40" i="5"/>
  <c r="C4" i="5" l="1"/>
  <c r="C3" i="5"/>
  <c r="D9" i="3"/>
  <c r="B19" i="3"/>
  <c r="C7" i="5"/>
  <c r="C14" i="5"/>
  <c r="B30" i="3"/>
  <c r="B42" i="3" s="1"/>
  <c r="B39" i="3" l="1"/>
  <c r="B43" i="3" s="1"/>
  <c r="B44" i="3" s="1"/>
  <c r="B27" i="3"/>
  <c r="B26" i="3"/>
  <c r="B25" i="3"/>
  <c r="B21" i="3"/>
  <c r="B54" i="5"/>
  <c r="B43" i="5"/>
  <c r="B42" i="5"/>
  <c r="B41" i="5"/>
  <c r="J37" i="5"/>
  <c r="F37" i="5"/>
  <c r="J36" i="5"/>
  <c r="F36" i="5"/>
  <c r="J35" i="5"/>
  <c r="F35" i="5"/>
  <c r="F29" i="5" s="1"/>
  <c r="J32" i="5"/>
  <c r="F32" i="5"/>
  <c r="J31" i="5"/>
  <c r="F31" i="5"/>
  <c r="J30" i="5"/>
  <c r="F30" i="5"/>
  <c r="J29" i="5"/>
  <c r="G16" i="5"/>
  <c r="G37" i="5" s="1"/>
  <c r="G15" i="5"/>
  <c r="H15" i="5" s="1"/>
  <c r="I15" i="5" s="1"/>
  <c r="G14" i="5"/>
  <c r="H14" i="5" s="1"/>
  <c r="I14" i="5" s="1"/>
  <c r="G13" i="5"/>
  <c r="G10" i="5"/>
  <c r="G8" i="5"/>
  <c r="H8" i="5" s="1"/>
  <c r="I8" i="5" s="1"/>
  <c r="G7" i="5"/>
  <c r="G31" i="5" s="1"/>
  <c r="G6" i="5"/>
  <c r="H6" i="5" s="1"/>
  <c r="I6" i="5" s="1"/>
  <c r="G5" i="5"/>
  <c r="H5" i="5" s="1"/>
  <c r="N4" i="5"/>
  <c r="G4" i="5"/>
  <c r="G30" i="5" s="1"/>
  <c r="K3" i="5"/>
  <c r="G3" i="5"/>
  <c r="G35" i="5" s="1"/>
  <c r="G29" i="5" s="1"/>
  <c r="B9" i="2"/>
  <c r="D4" i="4"/>
  <c r="C4" i="4"/>
  <c r="B4" i="4"/>
  <c r="D3" i="4"/>
  <c r="D2" i="4"/>
  <c r="G36" i="5" l="1"/>
  <c r="G17" i="5"/>
  <c r="G20" i="5" s="1"/>
  <c r="H10" i="5"/>
  <c r="C13" i="5"/>
  <c r="C5" i="5"/>
  <c r="C16" i="5"/>
  <c r="C10" i="5"/>
  <c r="C6" i="5"/>
  <c r="C15" i="5"/>
  <c r="L19" i="5" s="1"/>
  <c r="L21" i="5" s="1"/>
  <c r="C8" i="5"/>
  <c r="H4" i="5"/>
  <c r="H7" i="5"/>
  <c r="H31" i="5" s="1"/>
  <c r="G32" i="5"/>
  <c r="B44" i="5"/>
  <c r="H3" i="5"/>
  <c r="I5" i="5"/>
  <c r="H13" i="5"/>
  <c r="H16" i="5"/>
  <c r="I16" i="5" s="1"/>
  <c r="B4" i="2"/>
  <c r="B7" i="2" s="1"/>
  <c r="L17" i="5" l="1"/>
  <c r="C17" i="5"/>
  <c r="I7" i="5"/>
  <c r="I31" i="5" s="1"/>
  <c r="H17" i="5"/>
  <c r="H20" i="5" s="1"/>
  <c r="I10" i="5"/>
  <c r="H30" i="5"/>
  <c r="I4" i="5"/>
  <c r="I32" i="5" s="1"/>
  <c r="H32" i="5"/>
  <c r="H35" i="5"/>
  <c r="H29" i="5" s="1"/>
  <c r="I3" i="5"/>
  <c r="H36" i="5"/>
  <c r="I13" i="5"/>
  <c r="H37" i="5"/>
  <c r="I37" i="5"/>
  <c r="I36" i="5" l="1"/>
  <c r="I17" i="5"/>
  <c r="I20" i="5" s="1"/>
  <c r="I30" i="5"/>
  <c r="I35" i="5"/>
  <c r="I29" i="5" s="1"/>
  <c r="L3" i="5"/>
</calcChain>
</file>

<file path=xl/sharedStrings.xml><?xml version="1.0" encoding="utf-8"?>
<sst xmlns="http://schemas.openxmlformats.org/spreadsheetml/2006/main" count="250" uniqueCount="145">
  <si>
    <t>Mineral Water Brand</t>
  </si>
  <si>
    <t>Country</t>
  </si>
  <si>
    <t>Contrex</t>
  </si>
  <si>
    <t>Volvic</t>
  </si>
  <si>
    <t>Perrier</t>
  </si>
  <si>
    <t>Vichy St. Yorre</t>
  </si>
  <si>
    <t>Other French</t>
  </si>
  <si>
    <t>Vichy Celestins</t>
  </si>
  <si>
    <t>French Brands</t>
  </si>
  <si>
    <t>France</t>
  </si>
  <si>
    <t>Evian</t>
  </si>
  <si>
    <t>Vittel</t>
  </si>
  <si>
    <t>Badoit</t>
  </si>
  <si>
    <t>Vittel-Hepar</t>
  </si>
  <si>
    <t>EU Perrier 1991 Water Sales</t>
  </si>
  <si>
    <t>Growth Forecast</t>
  </si>
  <si>
    <t>if current growth continues, Volvic will nearly match all other Perrier EU sales by 1994.</t>
  </si>
  <si>
    <t>Largest Perrier name Contrex</t>
  </si>
  <si>
    <t>Average Perrier Brand</t>
  </si>
  <si>
    <t>Fastest Perrier growth (Other French)</t>
  </si>
  <si>
    <t>Largest Non-Perrier Evian</t>
  </si>
  <si>
    <t>Fastest Non-Perrier Vittel-Hepar</t>
  </si>
  <si>
    <t>77 liters per capita</t>
  </si>
  <si>
    <t>total population</t>
  </si>
  <si>
    <t>total liters</t>
  </si>
  <si>
    <t>Perrier liters sold</t>
  </si>
  <si>
    <t>Volvic sales</t>
  </si>
  <si>
    <t>Nestle + BSN</t>
  </si>
  <si>
    <t>Nestle</t>
  </si>
  <si>
    <t>BSN</t>
  </si>
  <si>
    <t>share</t>
  </si>
  <si>
    <t>All in France</t>
  </si>
  <si>
    <t>Others</t>
  </si>
  <si>
    <t>given</t>
  </si>
  <si>
    <t>Nestle's Vittel</t>
  </si>
  <si>
    <t>French market share</t>
  </si>
  <si>
    <t>Nestle's Vittel-Hepar</t>
  </si>
  <si>
    <t>BSN's Volvic</t>
  </si>
  <si>
    <t>Old BSN = Evian + Badoit</t>
  </si>
  <si>
    <t>New BSN = Evian + Badoit + Volvic</t>
  </si>
  <si>
    <t>New Nestle + New BSN</t>
  </si>
  <si>
    <t>assumed to be Nestle</t>
  </si>
  <si>
    <t>from New Nestle, we see that Nestle wins assumed it sells Volvic.</t>
  </si>
  <si>
    <t>math</t>
  </si>
  <si>
    <t>France sales</t>
  </si>
  <si>
    <t>Total sales</t>
  </si>
  <si>
    <t>Perrier water sales</t>
  </si>
  <si>
    <t>Other water sales</t>
  </si>
  <si>
    <t>French %</t>
  </si>
  <si>
    <t>Total water sales</t>
  </si>
  <si>
    <t>Old Nestle + Old BSN</t>
  </si>
  <si>
    <t>New Nestle</t>
  </si>
  <si>
    <t>Volvic/Perrier</t>
  </si>
  <si>
    <t>Perrier liters/total liters</t>
  </si>
  <si>
    <t>GIVEN</t>
  </si>
  <si>
    <t>Old Nestle = Vittel + Vittel-Hepar</t>
  </si>
  <si>
    <t>Total Perrier and Non Perrier</t>
  </si>
  <si>
    <t>Non Perrier Brands (french only?)</t>
  </si>
  <si>
    <t>Perrier Brands (french only?)</t>
  </si>
  <si>
    <t>total</t>
  </si>
  <si>
    <t>verified!</t>
  </si>
  <si>
    <t>From Growth forecast</t>
  </si>
  <si>
    <t>BSN is 9% too large, and with Volvic gaining market share fast, this is due to aggravate. Sell holdings.</t>
  </si>
  <si>
    <t>Check</t>
  </si>
  <si>
    <t>So now we have to cut BSN apart.</t>
  </si>
  <si>
    <t>Evian + Badoit - Volvic = Senseless.</t>
  </si>
  <si>
    <t>Evian + Volvic = too big!</t>
  </si>
  <si>
    <t>Badoit + Volvic = half of Nestle's size.</t>
  </si>
  <si>
    <t>This would leave BSN with 22%, smaller than its Evian division and much smaller than Nestle 34%. That is, the smallest.</t>
  </si>
  <si>
    <t>Start splicing and dicing to create a three competitors.</t>
  </si>
  <si>
    <t>Third party</t>
  </si>
  <si>
    <t>Perrier brands less Volvic (implied 82%)</t>
  </si>
  <si>
    <t>Perrier brand (implied 82%)</t>
  </si>
  <si>
    <t>Nestle has Vittel, Vittel-Hepar, Perrier. It must sell Volvic to bring it down to 34%.</t>
  </si>
  <si>
    <t>Gives Evian for Volvic. Results in shrinkage, but with strong potential.</t>
  </si>
  <si>
    <t>A new competitor enters the market to avoid duopoly.</t>
  </si>
  <si>
    <t>New Nestle(with Perrier) - Old Nestle</t>
  </si>
  <si>
    <t>Gets Perrier, gives Volvic.</t>
  </si>
  <si>
    <t>BSN + Nestle</t>
  </si>
  <si>
    <t>from chart (low end)</t>
  </si>
  <si>
    <t>Population * 77</t>
  </si>
  <si>
    <t>ecu</t>
  </si>
  <si>
    <t>franks per ecu</t>
  </si>
  <si>
    <t>franks</t>
  </si>
  <si>
    <t>5 billion global</t>
  </si>
  <si>
    <t>Ecu250 million EU</t>
  </si>
  <si>
    <t>46% of sales in EU</t>
  </si>
  <si>
    <t>Share 1991</t>
  </si>
  <si>
    <t>Share 1994</t>
  </si>
  <si>
    <t>Third Party</t>
  </si>
  <si>
    <t>And a few years down the path…only downsizing for Nestle.</t>
  </si>
  <si>
    <t>Perrier - Volvic</t>
  </si>
  <si>
    <t>BSN + Nestle + Evian</t>
  </si>
  <si>
    <t>Everyone else</t>
  </si>
  <si>
    <t>Total Non Perrier</t>
  </si>
  <si>
    <t>Total Perrier</t>
  </si>
  <si>
    <t>Total</t>
  </si>
  <si>
    <t>France Volume</t>
  </si>
  <si>
    <t>Perrier Brand</t>
  </si>
  <si>
    <t>Other Perrier</t>
  </si>
  <si>
    <t>France Value FF</t>
  </si>
  <si>
    <t>Market volume share</t>
  </si>
  <si>
    <t>New new Nestle = Vittel + Vittel-Hepar + Perrier - Volvic</t>
  </si>
  <si>
    <t>BSN sales FF</t>
  </si>
  <si>
    <t>Ecu</t>
  </si>
  <si>
    <t>conversion rate</t>
  </si>
  <si>
    <t>1990 Growth %</t>
  </si>
  <si>
    <t>Leading Non Perrier Brands (Assumed France only)</t>
  </si>
  <si>
    <t>Total Non Perrier Brand</t>
  </si>
  <si>
    <t>The Market Ahead…</t>
  </si>
  <si>
    <t>French mineral  water consumption 1991</t>
  </si>
  <si>
    <t>Perrier Brands</t>
  </si>
  <si>
    <t>Non Perrier Brands</t>
  </si>
  <si>
    <t>From ex4a, we find Perrier's total market share - Volvic would account for 32%. We set this to 30% to satisfy the case statement of 82%. This does not so much alter our computations, but only check and correct them for the court relavent market share computations ahead.</t>
  </si>
  <si>
    <t>Nestle sales FF (millions)</t>
  </si>
  <si>
    <t>Ecu (millions)</t>
  </si>
  <si>
    <t>Total FR mkt FF</t>
  </si>
  <si>
    <t>Total FR mkt Ecu</t>
  </si>
  <si>
    <t>Legal limit Ecu</t>
  </si>
  <si>
    <t>How many companies?</t>
  </si>
  <si>
    <t>That is,</t>
  </si>
  <si>
    <t>Non leading brands</t>
  </si>
  <si>
    <t>Share Adj</t>
  </si>
  <si>
    <t>?</t>
  </si>
  <si>
    <t>Total French Market</t>
  </si>
  <si>
    <t>New Nestle + Old BSN</t>
  </si>
  <si>
    <t>New Nestle + Old BSN/0.82</t>
  </si>
  <si>
    <t>Given</t>
  </si>
  <si>
    <t>New Nestle = Vittel + Vittel-Hepar + Perrier - Volvic</t>
  </si>
  <si>
    <t>New Nestle + Old BSN = OK!</t>
  </si>
  <si>
    <t>So now we cut BSN apart…</t>
  </si>
  <si>
    <t>Evian + Badoit = before</t>
  </si>
  <si>
    <t>Volvic + Evian</t>
  </si>
  <si>
    <t>Leaving Badoit alone…</t>
  </si>
  <si>
    <t>Vittel + Vittel-Hepar</t>
  </si>
  <si>
    <t>1994 Market Shares</t>
  </si>
  <si>
    <t>BSN = Volvic + Badoit</t>
  </si>
  <si>
    <t>Remaining Market</t>
  </si>
  <si>
    <t>1994 Forecast</t>
  </si>
  <si>
    <t>So BSN shouldn't take Evian. Downsizing ahead for Nestle…</t>
  </si>
  <si>
    <t>Garth Mortensen</t>
  </si>
  <si>
    <t>Guxiang Pan</t>
  </si>
  <si>
    <t>Latina Marinova</t>
  </si>
  <si>
    <t>Jin Qian</t>
  </si>
  <si>
    <t>Mihir Govilkar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</si>
</sst>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_(* #,##0.0_);_(* \(#,##0.0\);_(* &quot;-&quot;??_);_(@_)"/>
    <numFmt numFmtId="168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9" fontId="0" fillId="0" borderId="0" xfId="2" applyFont="1"/>
    <xf numFmtId="164" fontId="0" fillId="0" borderId="0" xfId="2" applyNumberFormat="1" applyFont="1"/>
    <xf numFmtId="165" fontId="0" fillId="0" borderId="0" xfId="1" applyNumberFormat="1" applyFont="1"/>
    <xf numFmtId="0" fontId="3" fillId="2" borderId="0" xfId="0" applyFont="1" applyFill="1"/>
    <xf numFmtId="165" fontId="0" fillId="2" borderId="0" xfId="1" applyNumberFormat="1" applyFont="1" applyFill="1"/>
    <xf numFmtId="0" fontId="0" fillId="3" borderId="0" xfId="0" applyFill="1"/>
    <xf numFmtId="164" fontId="0" fillId="3" borderId="0" xfId="2" applyNumberFormat="1" applyFont="1" applyFill="1"/>
    <xf numFmtId="165" fontId="0" fillId="3" borderId="0" xfId="1" applyNumberFormat="1" applyFont="1" applyFill="1"/>
    <xf numFmtId="43" fontId="0" fillId="4" borderId="0" xfId="1" applyNumberFormat="1" applyFont="1" applyFill="1"/>
    <xf numFmtId="0" fontId="0" fillId="4" borderId="0" xfId="0" applyFill="1"/>
    <xf numFmtId="9" fontId="0" fillId="3" borderId="0" xfId="2" applyFont="1" applyFill="1"/>
    <xf numFmtId="165" fontId="0" fillId="5" borderId="0" xfId="1" applyNumberFormat="1" applyFont="1" applyFill="1"/>
    <xf numFmtId="0" fontId="3" fillId="6" borderId="0" xfId="0" applyFont="1" applyFill="1"/>
    <xf numFmtId="165" fontId="0" fillId="6" borderId="0" xfId="1" applyNumberFormat="1" applyFont="1" applyFill="1"/>
    <xf numFmtId="0" fontId="0" fillId="0" borderId="0" xfId="0" applyFill="1"/>
    <xf numFmtId="165" fontId="0" fillId="0" borderId="0" xfId="1" applyNumberFormat="1" applyFont="1" applyFill="1"/>
    <xf numFmtId="0" fontId="2" fillId="0" borderId="0" xfId="0" applyFont="1" applyFill="1"/>
    <xf numFmtId="164" fontId="0" fillId="0" borderId="0" xfId="2" applyNumberFormat="1" applyFont="1" applyFill="1"/>
    <xf numFmtId="3" fontId="0" fillId="0" borderId="0" xfId="0" applyNumberFormat="1"/>
    <xf numFmtId="3" fontId="2" fillId="0" borderId="0" xfId="0" applyNumberFormat="1" applyFont="1"/>
    <xf numFmtId="165" fontId="0" fillId="4" borderId="0" xfId="1" applyNumberFormat="1" applyFont="1" applyFill="1"/>
    <xf numFmtId="43" fontId="0" fillId="0" borderId="0" xfId="0" applyNumberFormat="1"/>
    <xf numFmtId="0" fontId="0" fillId="0" borderId="0" xfId="0" applyAlignment="1">
      <alignment vertical="center"/>
    </xf>
    <xf numFmtId="9" fontId="0" fillId="0" borderId="0" xfId="0" applyNumberFormat="1"/>
    <xf numFmtId="0" fontId="0" fillId="0" borderId="0" xfId="0" applyFont="1" applyAlignment="1">
      <alignment vertical="center"/>
    </xf>
    <xf numFmtId="43" fontId="0" fillId="0" borderId="0" xfId="1" applyFont="1"/>
    <xf numFmtId="9" fontId="3" fillId="4" borderId="0" xfId="2" applyFont="1" applyFill="1"/>
    <xf numFmtId="9" fontId="0" fillId="4" borderId="0" xfId="2" applyFont="1" applyFill="1"/>
    <xf numFmtId="9" fontId="4" fillId="4" borderId="0" xfId="2" applyFont="1" applyFill="1"/>
    <xf numFmtId="0" fontId="2" fillId="0" borderId="0" xfId="0" applyFont="1" applyAlignment="1">
      <alignment vertical="center"/>
    </xf>
    <xf numFmtId="0" fontId="0" fillId="7" borderId="0" xfId="0" applyFont="1" applyFill="1" applyAlignment="1">
      <alignment vertical="center"/>
    </xf>
    <xf numFmtId="9" fontId="0" fillId="7" borderId="0" xfId="2" applyFont="1" applyFill="1"/>
    <xf numFmtId="9" fontId="1" fillId="0" borderId="0" xfId="2" applyFont="1"/>
    <xf numFmtId="9" fontId="0" fillId="0" borderId="0" xfId="2" applyNumberFormat="1" applyFont="1"/>
    <xf numFmtId="9" fontId="0" fillId="4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7" borderId="0" xfId="0" applyFill="1"/>
    <xf numFmtId="0" fontId="0" fillId="7" borderId="0" xfId="0" applyFont="1" applyFill="1" applyBorder="1"/>
    <xf numFmtId="0" fontId="0" fillId="7" borderId="0" xfId="0" applyFont="1" applyFill="1"/>
    <xf numFmtId="0" fontId="5" fillId="0" borderId="0" xfId="0" applyFont="1"/>
    <xf numFmtId="9" fontId="5" fillId="0" borderId="0" xfId="2" applyFont="1"/>
    <xf numFmtId="9" fontId="0" fillId="8" borderId="0" xfId="2" applyFont="1" applyFill="1"/>
    <xf numFmtId="0" fontId="0" fillId="0" borderId="1" xfId="0" applyFont="1" applyBorder="1" applyAlignment="1">
      <alignment vertical="center"/>
    </xf>
    <xf numFmtId="9" fontId="0" fillId="0" borderId="2" xfId="2" applyFont="1" applyBorder="1"/>
    <xf numFmtId="0" fontId="2" fillId="0" borderId="3" xfId="0" applyFont="1" applyBorder="1"/>
    <xf numFmtId="9" fontId="0" fillId="0" borderId="4" xfId="2" applyFont="1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7" borderId="3" xfId="0" applyFont="1" applyFill="1" applyBorder="1" applyAlignment="1">
      <alignment vertical="center"/>
    </xf>
    <xf numFmtId="9" fontId="0" fillId="7" borderId="4" xfId="2" applyFont="1" applyFill="1" applyBorder="1"/>
    <xf numFmtId="9" fontId="0" fillId="0" borderId="3" xfId="2" applyFont="1" applyBorder="1"/>
    <xf numFmtId="9" fontId="2" fillId="0" borderId="3" xfId="2" applyFont="1" applyBorder="1"/>
    <xf numFmtId="0" fontId="0" fillId="0" borderId="5" xfId="0" applyBorder="1"/>
    <xf numFmtId="9" fontId="0" fillId="0" borderId="6" xfId="2" applyFont="1" applyBorder="1"/>
    <xf numFmtId="0" fontId="3" fillId="0" borderId="0" xfId="0" applyFont="1" applyAlignment="1">
      <alignment vertical="center"/>
    </xf>
    <xf numFmtId="0" fontId="0" fillId="9" borderId="1" xfId="0" applyFill="1" applyBorder="1"/>
    <xf numFmtId="9" fontId="0" fillId="4" borderId="2" xfId="2" applyNumberFormat="1" applyFont="1" applyFill="1" applyBorder="1"/>
    <xf numFmtId="0" fontId="0" fillId="9" borderId="5" xfId="0" applyFill="1" applyBorder="1"/>
    <xf numFmtId="9" fontId="0" fillId="4" borderId="6" xfId="2" applyNumberFormat="1" applyFont="1" applyFill="1" applyBorder="1"/>
    <xf numFmtId="9" fontId="3" fillId="0" borderId="0" xfId="2" applyFont="1"/>
    <xf numFmtId="43" fontId="6" fillId="0" borderId="0" xfId="1" applyFont="1"/>
    <xf numFmtId="165" fontId="2" fillId="6" borderId="0" xfId="1" applyNumberFormat="1" applyFont="1" applyFill="1"/>
    <xf numFmtId="165" fontId="2" fillId="0" borderId="0" xfId="1" applyNumberFormat="1" applyFont="1" applyFill="1"/>
    <xf numFmtId="165" fontId="0" fillId="0" borderId="0" xfId="0" applyNumberFormat="1"/>
    <xf numFmtId="166" fontId="0" fillId="0" borderId="0" xfId="3" applyNumberFormat="1" applyFont="1"/>
    <xf numFmtId="166" fontId="0" fillId="0" borderId="0" xfId="0" applyNumberFormat="1"/>
    <xf numFmtId="44" fontId="0" fillId="0" borderId="0" xfId="0" applyNumberFormat="1"/>
    <xf numFmtId="9" fontId="1" fillId="4" borderId="0" xfId="2" applyFont="1" applyFill="1"/>
    <xf numFmtId="167" fontId="0" fillId="0" borderId="0" xfId="0" applyNumberFormat="1"/>
    <xf numFmtId="167" fontId="0" fillId="0" borderId="0" xfId="0" applyNumberFormat="1" applyFont="1"/>
    <xf numFmtId="167" fontId="2" fillId="0" borderId="0" xfId="0" applyNumberFormat="1" applyFont="1"/>
    <xf numFmtId="0" fontId="0" fillId="9" borderId="0" xfId="0" applyFill="1" applyBorder="1"/>
    <xf numFmtId="0" fontId="0" fillId="4" borderId="0" xfId="0" applyFill="1" applyBorder="1"/>
    <xf numFmtId="165" fontId="0" fillId="4" borderId="0" xfId="0" applyNumberFormat="1" applyFont="1" applyFill="1" applyBorder="1"/>
    <xf numFmtId="0" fontId="0" fillId="9" borderId="0" xfId="0" applyFont="1" applyFill="1" applyBorder="1"/>
    <xf numFmtId="9" fontId="0" fillId="9" borderId="0" xfId="2" applyFont="1" applyFill="1" applyBorder="1"/>
    <xf numFmtId="165" fontId="0" fillId="9" borderId="0" xfId="0" applyNumberFormat="1" applyFill="1"/>
    <xf numFmtId="9" fontId="2" fillId="4" borderId="0" xfId="2" applyFont="1" applyFill="1"/>
    <xf numFmtId="9" fontId="7" fillId="4" borderId="0" xfId="2" applyFont="1" applyFill="1"/>
    <xf numFmtId="9" fontId="8" fillId="4" borderId="0" xfId="2" applyFont="1" applyFill="1"/>
    <xf numFmtId="43" fontId="2" fillId="0" borderId="0" xfId="0" applyNumberFormat="1" applyFont="1"/>
    <xf numFmtId="165" fontId="2" fillId="0" borderId="0" xfId="1" applyNumberFormat="1" applyFont="1"/>
    <xf numFmtId="168" fontId="0" fillId="9" borderId="0" xfId="0" applyNumberFormat="1" applyFill="1"/>
    <xf numFmtId="0" fontId="0" fillId="10" borderId="0" xfId="0" applyFill="1"/>
    <xf numFmtId="165" fontId="1" fillId="10" borderId="0" xfId="1" applyNumberFormat="1" applyFont="1" applyFill="1"/>
    <xf numFmtId="9" fontId="1" fillId="10" borderId="0" xfId="2" applyFont="1" applyFill="1"/>
    <xf numFmtId="168" fontId="0" fillId="10" borderId="0" xfId="0" applyNumberFormat="1" applyFill="1"/>
    <xf numFmtId="165" fontId="0" fillId="10" borderId="0" xfId="0" applyNumberFormat="1" applyFill="1"/>
    <xf numFmtId="0" fontId="2" fillId="10" borderId="0" xfId="0" applyFont="1" applyFill="1"/>
    <xf numFmtId="165" fontId="2" fillId="10" borderId="0" xfId="1" applyNumberFormat="1" applyFont="1" applyFill="1"/>
    <xf numFmtId="9" fontId="2" fillId="10" borderId="0" xfId="2" applyFont="1" applyFill="1"/>
    <xf numFmtId="0" fontId="2" fillId="9" borderId="0" xfId="0" applyFont="1" applyFill="1" applyBorder="1"/>
    <xf numFmtId="9" fontId="2" fillId="9" borderId="0" xfId="2" applyFont="1" applyFill="1"/>
    <xf numFmtId="0" fontId="2" fillId="9" borderId="0" xfId="0" applyFont="1" applyFill="1"/>
    <xf numFmtId="167" fontId="2" fillId="9" borderId="0" xfId="0" applyNumberFormat="1" applyFont="1" applyFill="1"/>
    <xf numFmtId="9" fontId="0" fillId="11" borderId="0" xfId="2" applyFont="1" applyFill="1" applyBorder="1"/>
    <xf numFmtId="168" fontId="0" fillId="11" borderId="0" xfId="0" applyNumberFormat="1" applyFill="1"/>
    <xf numFmtId="9" fontId="0" fillId="12" borderId="0" xfId="2" applyFont="1" applyFill="1"/>
    <xf numFmtId="9" fontId="5" fillId="0" borderId="0" xfId="0" applyNumberFormat="1" applyFont="1"/>
    <xf numFmtId="9" fontId="9" fillId="0" borderId="0" xfId="2" applyFont="1"/>
    <xf numFmtId="168" fontId="0" fillId="0" borderId="0" xfId="0" applyNumberFormat="1"/>
    <xf numFmtId="9" fontId="0" fillId="0" borderId="0" xfId="0" applyNumberFormat="1" applyBorder="1"/>
    <xf numFmtId="9" fontId="0" fillId="0" borderId="0" xfId="0" applyNumberFormat="1" applyFill="1" applyBorder="1"/>
    <xf numFmtId="0" fontId="0" fillId="13" borderId="0" xfId="0" applyFont="1" applyFill="1"/>
    <xf numFmtId="0" fontId="0" fillId="13" borderId="0" xfId="0" applyFill="1"/>
    <xf numFmtId="9" fontId="2" fillId="13" borderId="0" xfId="2" applyFont="1" applyFill="1"/>
    <xf numFmtId="0" fontId="0" fillId="14" borderId="0" xfId="0" applyFont="1" applyFill="1"/>
    <xf numFmtId="0" fontId="0" fillId="14" borderId="0" xfId="0" applyFill="1"/>
    <xf numFmtId="9" fontId="2" fillId="14" borderId="0" xfId="2" applyFont="1" applyFill="1"/>
    <xf numFmtId="9" fontId="8" fillId="15" borderId="0" xfId="2" applyFont="1" applyFill="1"/>
    <xf numFmtId="165" fontId="1" fillId="0" borderId="0" xfId="1" applyNumberFormat="1" applyFont="1" applyFill="1"/>
    <xf numFmtId="9" fontId="0" fillId="4" borderId="0" xfId="0" applyNumberFormat="1" applyFill="1"/>
    <xf numFmtId="9" fontId="0" fillId="16" borderId="0" xfId="2" applyFont="1" applyFill="1"/>
    <xf numFmtId="9" fontId="0" fillId="16" borderId="0" xfId="0" applyNumberFormat="1" applyFill="1"/>
    <xf numFmtId="165" fontId="0" fillId="16" borderId="0" xfId="1" applyNumberFormat="1" applyFont="1" applyFill="1"/>
    <xf numFmtId="43" fontId="0" fillId="16" borderId="0" xfId="0" applyNumberFormat="1" applyFill="1"/>
    <xf numFmtId="9" fontId="1" fillId="16" borderId="0" xfId="2" applyNumberFormat="1" applyFont="1" applyFill="1"/>
    <xf numFmtId="165" fontId="1" fillId="4" borderId="0" xfId="1" applyNumberFormat="1" applyFont="1" applyFill="1"/>
    <xf numFmtId="0" fontId="0" fillId="4" borderId="0" xfId="0" applyFont="1" applyFill="1" applyAlignment="1">
      <alignment vertical="center"/>
    </xf>
    <xf numFmtId="9" fontId="10" fillId="0" borderId="0" xfId="0" applyNumberFormat="1" applyFont="1"/>
    <xf numFmtId="0" fontId="10" fillId="0" borderId="0" xfId="0" applyFont="1"/>
    <xf numFmtId="0" fontId="2" fillId="4" borderId="0" xfId="0" applyFont="1" applyFill="1" applyBorder="1"/>
    <xf numFmtId="0" fontId="2" fillId="4" borderId="0" xfId="0" applyFont="1" applyFill="1"/>
    <xf numFmtId="167" fontId="2" fillId="4" borderId="0" xfId="0" applyNumberFormat="1" applyFont="1" applyFill="1"/>
    <xf numFmtId="43" fontId="0" fillId="11" borderId="0" xfId="0" applyNumberFormat="1" applyFill="1"/>
    <xf numFmtId="168" fontId="2" fillId="10" borderId="0" xfId="0" applyNumberFormat="1" applyFont="1" applyFill="1"/>
    <xf numFmtId="0" fontId="2" fillId="17" borderId="0" xfId="0" applyFont="1" applyFill="1" applyBorder="1"/>
    <xf numFmtId="165" fontId="1" fillId="17" borderId="0" xfId="1" applyNumberFormat="1" applyFont="1" applyFill="1"/>
    <xf numFmtId="9" fontId="2" fillId="17" borderId="0" xfId="2" applyFont="1" applyFill="1"/>
    <xf numFmtId="0" fontId="2" fillId="17" borderId="0" xfId="0" applyFont="1" applyFill="1"/>
    <xf numFmtId="167" fontId="2" fillId="17" borderId="0" xfId="0" applyNumberFormat="1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Perrier </a:t>
            </a:r>
            <a:r>
              <a:rPr lang="en-US"/>
              <a:t>Future Sales</a:t>
            </a:r>
            <a:r>
              <a:rPr lang="en-US" baseline="0"/>
              <a:t> Performances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'Growth forecast'!$A$32:$B$32</c:f>
              <c:strCache>
                <c:ptCount val="1"/>
                <c:pt idx="0">
                  <c:v>Average Perrier Brand</c:v>
                </c:pt>
              </c:strCache>
            </c:strRef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'Growth forecast'!$F$28:$I$28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'Growth forecast'!$F$32:$I$32</c:f>
              <c:numCache>
                <c:formatCode>_(* #,##0_);_(* \(#,##0\);_(* "-"??_);_(@_)</c:formatCode>
                <c:ptCount val="4"/>
                <c:pt idx="0">
                  <c:v>218.57142857142858</c:v>
                </c:pt>
                <c:pt idx="1">
                  <c:v>212.45757142857141</c:v>
                </c:pt>
                <c:pt idx="2">
                  <c:v>209.65194099999999</c:v>
                </c:pt>
                <c:pt idx="3">
                  <c:v>211.00959616985716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'Growth forecast'!$A$30:$B$30</c:f>
              <c:strCache>
                <c:ptCount val="1"/>
                <c:pt idx="0">
                  <c:v>Largest Perrier name Contrex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'Growth forecast'!$F$28:$I$28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'Growth forecast'!$F$30:$I$30</c:f>
              <c:numCache>
                <c:formatCode>_(* #,##0_);_(* \(#,##0\);_(* "-"??_);_(@_)</c:formatCode>
                <c:ptCount val="4"/>
                <c:pt idx="0">
                  <c:v>829</c:v>
                </c:pt>
                <c:pt idx="1">
                  <c:v>777.60199999999998</c:v>
                </c:pt>
                <c:pt idx="2">
                  <c:v>729.39067599999998</c:v>
                </c:pt>
                <c:pt idx="3">
                  <c:v>684.16845408799998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'Growth forecast'!$A$31:$B$31</c:f>
              <c:strCache>
                <c:ptCount val="1"/>
                <c:pt idx="0">
                  <c:v>Fastest Perrier growth (Other French)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'Growth forecast'!$F$28:$I$28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'Growth forecast'!$F$31:$I$31</c:f>
              <c:numCache>
                <c:formatCode>_(* #,##0_);_(* \(#,##0\);_(* "-"??_);_(@_)</c:formatCode>
                <c:ptCount val="4"/>
                <c:pt idx="0">
                  <c:v>126</c:v>
                </c:pt>
                <c:pt idx="1">
                  <c:v>172.62</c:v>
                </c:pt>
                <c:pt idx="2">
                  <c:v>236.48940000000002</c:v>
                </c:pt>
                <c:pt idx="3">
                  <c:v>323.99047800000005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'Growth forecast'!$A$29:$B$29</c:f>
              <c:strCache>
                <c:ptCount val="1"/>
                <c:pt idx="0">
                  <c:v>Volvic</c:v>
                </c:pt>
              </c:strCache>
            </c:strRef>
          </c:tx>
          <c:spPr>
            <a:ln w="3810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'Growth forecast'!$F$28:$I$28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'Growth forecast'!$F$29:$I$29</c:f>
              <c:numCache>
                <c:formatCode>_(* #,##0_);_(* \(#,##0\);_(* "-"??_);_(@_)</c:formatCode>
                <c:ptCount val="4"/>
                <c:pt idx="0">
                  <c:v>784</c:v>
                </c:pt>
                <c:pt idx="1">
                  <c:v>961.96800000000007</c:v>
                </c:pt>
                <c:pt idx="2">
                  <c:v>1180.3347360000002</c:v>
                </c:pt>
                <c:pt idx="3">
                  <c:v>1448.2707210720005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06016"/>
        <c:axId val="131607552"/>
      </c:lineChart>
      <c:catAx>
        <c:axId val="13160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1607552"/>
        <c:crosses val="autoZero"/>
        <c:auto val="1"/>
        <c:lblAlgn val="ctr"/>
        <c:lblOffset val="100"/>
        <c:noMultiLvlLbl val="0"/>
      </c:catAx>
      <c:valAx>
        <c:axId val="13160755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spPr>
          <a:ln w="9525">
            <a:noFill/>
          </a:ln>
        </c:spPr>
        <c:crossAx val="1316060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Non-Perrier </a:t>
            </a:r>
            <a:r>
              <a:rPr lang="en-US" sz="1800" b="1" i="0" u="none" strike="noStrike" baseline="0">
                <a:effectLst/>
              </a:rPr>
              <a:t>Future Sales Performances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'Growth forecast'!$A$36:$B$36</c:f>
              <c:strCache>
                <c:ptCount val="1"/>
                <c:pt idx="0">
                  <c:v>Largest Non-Perrier Evian</c:v>
                </c:pt>
              </c:strCache>
            </c:strRef>
          </c:tx>
          <c:marker>
            <c:symbol val="none"/>
          </c:marker>
          <c:cat>
            <c:numRef>
              <c:f>'Growth forecast'!$F$34:$I$34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'Growth forecast'!$F$36:$I$36</c:f>
              <c:numCache>
                <c:formatCode>_(* #,##0_);_(* \(#,##0\);_(* "-"??_);_(@_)</c:formatCode>
                <c:ptCount val="4"/>
                <c:pt idx="0">
                  <c:v>1304</c:v>
                </c:pt>
                <c:pt idx="1">
                  <c:v>1317.04</c:v>
                </c:pt>
                <c:pt idx="2">
                  <c:v>1330.2103999999999</c:v>
                </c:pt>
                <c:pt idx="3">
                  <c:v>1343.512504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'Growth forecast'!$A$37:$B$37</c:f>
              <c:strCache>
                <c:ptCount val="1"/>
                <c:pt idx="0">
                  <c:v>Fastest Non-Perrier Vittel-Hepar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'Growth forecast'!$F$34:$I$34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'Growth forecast'!$F$37:$I$37</c:f>
              <c:numCache>
                <c:formatCode>_(* #,##0_);_(* \(#,##0\);_(* "-"??_);_(@_)</c:formatCode>
                <c:ptCount val="4"/>
                <c:pt idx="0">
                  <c:v>106</c:v>
                </c:pt>
                <c:pt idx="1">
                  <c:v>124.44399999999999</c:v>
                </c:pt>
                <c:pt idx="2">
                  <c:v>146.09725599999999</c:v>
                </c:pt>
                <c:pt idx="3">
                  <c:v>171.51817854399997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'Growth forecast'!$A$35:$B$35</c:f>
              <c:strCache>
                <c:ptCount val="1"/>
                <c:pt idx="0">
                  <c:v>Volvic</c:v>
                </c:pt>
              </c:strCache>
            </c:strRef>
          </c:tx>
          <c:spPr>
            <a:ln w="3810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'Growth forecast'!$F$34:$I$34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'Growth forecast'!$F$35:$I$35</c:f>
              <c:numCache>
                <c:formatCode>_(* #,##0_);_(* \(#,##0\);_(* "-"??_);_(@_)</c:formatCode>
                <c:ptCount val="4"/>
                <c:pt idx="0">
                  <c:v>784</c:v>
                </c:pt>
                <c:pt idx="1">
                  <c:v>961.96800000000007</c:v>
                </c:pt>
                <c:pt idx="2">
                  <c:v>1180.3347360000002</c:v>
                </c:pt>
                <c:pt idx="3">
                  <c:v>1448.2707210720005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58496"/>
        <c:axId val="131660032"/>
      </c:lineChart>
      <c:catAx>
        <c:axId val="13165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1660032"/>
        <c:crosses val="autoZero"/>
        <c:auto val="1"/>
        <c:lblAlgn val="ctr"/>
        <c:lblOffset val="100"/>
        <c:noMultiLvlLbl val="0"/>
      </c:catAx>
      <c:valAx>
        <c:axId val="13166003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spPr>
          <a:ln w="9525">
            <a:noFill/>
          </a:ln>
        </c:spPr>
        <c:crossAx val="1316584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French</a:t>
            </a:r>
            <a:r>
              <a:rPr lang="en-US" baseline="0"/>
              <a:t> Water Market Share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'Growth forecast'!$A$40:$A$44</c:f>
              <c:strCache>
                <c:ptCount val="5"/>
                <c:pt idx="0">
                  <c:v>Volvic</c:v>
                </c:pt>
                <c:pt idx="1">
                  <c:v>Evian</c:v>
                </c:pt>
                <c:pt idx="2">
                  <c:v>Contrex</c:v>
                </c:pt>
                <c:pt idx="3">
                  <c:v>Perrier</c:v>
                </c:pt>
                <c:pt idx="4">
                  <c:v>Others</c:v>
                </c:pt>
              </c:strCache>
            </c:strRef>
          </c:cat>
          <c:val>
            <c:numRef>
              <c:f>'Growth forecast'!$B$40:$B$44</c:f>
              <c:numCache>
                <c:formatCode>_(* #,##0.00_);_(* \(#,##0.00\);_(* "-"??_);_(@_)</c:formatCode>
                <c:ptCount val="5"/>
                <c:pt idx="0">
                  <c:v>0.17870982448142239</c:v>
                </c:pt>
                <c:pt idx="1">
                  <c:v>0.29724185092318212</c:v>
                </c:pt>
                <c:pt idx="2">
                  <c:v>0.18896740369272852</c:v>
                </c:pt>
                <c:pt idx="3">
                  <c:v>7.6361978573056752E-2</c:v>
                </c:pt>
                <c:pt idx="4">
                  <c:v>0.25871894232961035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1994 Market Share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'Growth forecast'!$M$41:$M$44</c:f>
              <c:strCache>
                <c:ptCount val="4"/>
                <c:pt idx="0">
                  <c:v>BSN = Volvic + Badoit</c:v>
                </c:pt>
                <c:pt idx="1">
                  <c:v>Nestle</c:v>
                </c:pt>
                <c:pt idx="2">
                  <c:v>Evian</c:v>
                </c:pt>
                <c:pt idx="3">
                  <c:v>Remaining Market</c:v>
                </c:pt>
              </c:strCache>
            </c:strRef>
          </c:cat>
          <c:val>
            <c:numRef>
              <c:f>'Growth forecast'!$N$41:$N$44</c:f>
              <c:numCache>
                <c:formatCode>0%</c:formatCode>
                <c:ptCount val="4"/>
                <c:pt idx="0">
                  <c:v>0.30815548316336627</c:v>
                </c:pt>
                <c:pt idx="1">
                  <c:v>0.34013885046341585</c:v>
                </c:pt>
                <c:pt idx="2">
                  <c:v>0.22710388262041803</c:v>
                </c:pt>
                <c:pt idx="3">
                  <c:v>0.12460178375279984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Market</a:t>
            </a:r>
            <a:r>
              <a:rPr lang="en-US" baseline="0"/>
              <a:t> Domination Ahead...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('Company share'!$I$30,'Company share'!$I$34,'Company share'!$I$40)</c:f>
              <c:strCache>
                <c:ptCount val="3"/>
                <c:pt idx="0">
                  <c:v>BSN</c:v>
                </c:pt>
                <c:pt idx="1">
                  <c:v>Nestle</c:v>
                </c:pt>
                <c:pt idx="2">
                  <c:v>Evian</c:v>
                </c:pt>
              </c:strCache>
            </c:strRef>
          </c:cat>
          <c:val>
            <c:numRef>
              <c:f>('Company share'!$J$30,'Company share'!$J$34,'Company share'!$J$40)</c:f>
              <c:numCache>
                <c:formatCode>0%</c:formatCode>
                <c:ptCount val="3"/>
                <c:pt idx="0">
                  <c:v>0.3520174903764568</c:v>
                </c:pt>
                <c:pt idx="1">
                  <c:v>0.38992723288468328</c:v>
                </c:pt>
                <c:pt idx="2">
                  <c:v>0.25942922707108534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Final</a:t>
            </a:r>
            <a:r>
              <a:rPr lang="en-US" baseline="0"/>
              <a:t> Solution?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Value!$I$18:$I$23</c:f>
              <c:strCache>
                <c:ptCount val="6"/>
                <c:pt idx="0">
                  <c:v>Mihir Govilkar</c:v>
                </c:pt>
                <c:pt idx="1">
                  <c:v>Latina Marinova</c:v>
                </c:pt>
                <c:pt idx="2">
                  <c:v>Garth Mortensen</c:v>
                </c:pt>
                <c:pt idx="3">
                  <c:v>Guxiang Pan</c:v>
                </c:pt>
                <c:pt idx="4">
                  <c:v>Jin Qian</c:v>
                </c:pt>
                <c:pt idx="5">
                  <c:v>Nestle + BSN</c:v>
                </c:pt>
              </c:strCache>
            </c:strRef>
          </c:cat>
          <c:val>
            <c:numRef>
              <c:f>Value!$J$18:$J$23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1270000</xdr:colOff>
      <xdr:row>13</xdr:row>
      <xdr:rowOff>106136</xdr:rowOff>
    </xdr:from>
    <xdr:to>
      <xdr:col>28</xdr:col>
      <xdr:colOff>326571</xdr:colOff>
      <xdr:row>44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292100</xdr:colOff>
      <xdr:row>11</xdr:row>
      <xdr:rowOff>63500</xdr:rowOff>
    </xdr:from>
    <xdr:to>
      <xdr:col>29</xdr:col>
      <xdr:colOff>571500</xdr:colOff>
      <xdr:row>42</xdr:row>
      <xdr:rowOff>52614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</xdr:colOff>
      <xdr:row>47</xdr:row>
      <xdr:rowOff>80963</xdr:rowOff>
    </xdr:from>
    <xdr:to>
      <xdr:col>16</xdr:col>
      <xdr:colOff>38100</xdr:colOff>
      <xdr:row>59</xdr:row>
      <xdr:rowOff>109538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466725</xdr:colOff>
      <xdr:row>34</xdr:row>
      <xdr:rowOff>109538</xdr:rowOff>
    </xdr:from>
    <xdr:to>
      <xdr:col>20</xdr:col>
      <xdr:colOff>428625</xdr:colOff>
      <xdr:row>49</xdr:row>
      <xdr:rowOff>138113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174172</xdr:colOff>
      <xdr:row>28</xdr:row>
      <xdr:rowOff>146957</xdr:rowOff>
    </xdr:from>
    <xdr:to>
      <xdr:col>17</xdr:col>
      <xdr:colOff>478972</xdr:colOff>
      <xdr:row>43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14</xdr:row>
      <xdr:rowOff>114306</xdr:rowOff>
    </xdr:from>
    <xdr:to>
      <xdr:col>16</xdr:col>
      <xdr:colOff>91440</xdr:colOff>
      <xdr:row>29</xdr:row>
      <xdr:rowOff>114306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G29" zoomScale="90" zoomScaleNormal="90" workbookViewId="0">
      <selection activeCell="J42" sqref="J42"/>
    </sheetView>
  </sheetViews>
  <sheetFormatPr defaultRowHeight="14.4" x14ac:dyDescent="0.3"/>
  <cols>
    <col min="1" max="1" width="22.109375" customWidth="1"/>
    <col min="2" max="2" width="9.5546875" style="4" customWidth="1"/>
    <col min="3" max="3" width="10.109375" style="2" bestFit="1" customWidth="1"/>
    <col min="4" max="4" width="10.109375" style="2" customWidth="1"/>
    <col min="5" max="5" width="10.6640625" customWidth="1"/>
    <col min="6" max="6" width="12.109375" customWidth="1"/>
    <col min="7" max="7" width="10.88671875" customWidth="1"/>
    <col min="8" max="8" width="11.33203125" bestFit="1" customWidth="1"/>
    <col min="9" max="9" width="12.109375" customWidth="1"/>
    <col min="10" max="10" width="14.109375" customWidth="1"/>
    <col min="11" max="11" width="9.33203125" bestFit="1" customWidth="1"/>
    <col min="12" max="12" width="7.109375" customWidth="1"/>
    <col min="13" max="13" width="44.44140625" customWidth="1"/>
    <col min="14" max="14" width="9.33203125" customWidth="1"/>
    <col min="16" max="16" width="22.77734375" customWidth="1"/>
  </cols>
  <sheetData>
    <row r="1" spans="1:16" x14ac:dyDescent="0.3">
      <c r="A1" s="2" t="s">
        <v>14</v>
      </c>
      <c r="B1"/>
      <c r="F1" s="13"/>
      <c r="G1" s="136" t="s">
        <v>15</v>
      </c>
      <c r="H1" s="136"/>
      <c r="I1" s="136"/>
    </row>
    <row r="2" spans="1:16" x14ac:dyDescent="0.3">
      <c r="A2" s="1" t="s">
        <v>0</v>
      </c>
      <c r="B2" s="1" t="s">
        <v>1</v>
      </c>
      <c r="C2" s="83" t="s">
        <v>87</v>
      </c>
      <c r="D2" s="83" t="s">
        <v>122</v>
      </c>
      <c r="E2" s="30" t="s">
        <v>88</v>
      </c>
      <c r="F2" s="16">
        <v>1991</v>
      </c>
      <c r="G2" s="7">
        <v>1992</v>
      </c>
      <c r="H2" s="7">
        <v>1993</v>
      </c>
      <c r="I2" s="7">
        <v>1994</v>
      </c>
      <c r="J2" s="1" t="s">
        <v>106</v>
      </c>
      <c r="K2" t="s">
        <v>30</v>
      </c>
    </row>
    <row r="3" spans="1:16" x14ac:dyDescent="0.3">
      <c r="A3" s="112" t="s">
        <v>3</v>
      </c>
      <c r="B3" s="112" t="s">
        <v>9</v>
      </c>
      <c r="C3" s="113">
        <f>F3/$F$20</f>
        <v>0.16161616161616163</v>
      </c>
      <c r="D3" s="97">
        <f>F3/$F$21</f>
        <v>0.13252533448278775</v>
      </c>
      <c r="E3" s="31">
        <f>I3/$F$21</f>
        <v>0.24481194098430495</v>
      </c>
      <c r="F3" s="17">
        <v>784</v>
      </c>
      <c r="G3" s="11">
        <f t="shared" ref="G3:I4" si="0">F3*(1+$J3)</f>
        <v>961.96800000000007</v>
      </c>
      <c r="H3" s="11">
        <f t="shared" si="0"/>
        <v>1180.3347360000002</v>
      </c>
      <c r="I3" s="11">
        <f t="shared" si="0"/>
        <v>1448.2707210720005</v>
      </c>
      <c r="J3" s="10">
        <v>0.22700000000000001</v>
      </c>
      <c r="K3">
        <f>F3/F10</f>
        <v>0.33880726015557477</v>
      </c>
      <c r="L3" s="12">
        <f>I3/(SUM(I4:I9))</f>
        <v>0.98050430431350799</v>
      </c>
      <c r="M3" s="13" t="s">
        <v>16</v>
      </c>
    </row>
    <row r="4" spans="1:16" x14ac:dyDescent="0.3">
      <c r="A4" s="109" t="s">
        <v>2</v>
      </c>
      <c r="B4" s="109" t="s">
        <v>9</v>
      </c>
      <c r="C4" s="110">
        <f>F4/$F$20</f>
        <v>0.17089259946402804</v>
      </c>
      <c r="D4" s="97">
        <f t="shared" ref="D4:D17" si="1">F4/$F$21</f>
        <v>0.14013201822223348</v>
      </c>
      <c r="E4" s="31">
        <f t="shared" ref="E4:E16" si="2">I4/$F$21</f>
        <v>0.11565006788339798</v>
      </c>
      <c r="F4" s="17">
        <v>829</v>
      </c>
      <c r="G4" s="8">
        <f t="shared" si="0"/>
        <v>777.60199999999998</v>
      </c>
      <c r="H4" s="8">
        <f t="shared" si="0"/>
        <v>729.39067599999998</v>
      </c>
      <c r="I4" s="8">
        <f t="shared" si="0"/>
        <v>684.16845408799998</v>
      </c>
      <c r="J4" s="5">
        <v>-6.2E-2</v>
      </c>
      <c r="N4" s="6">
        <f>N2*N3</f>
        <v>0</v>
      </c>
    </row>
    <row r="5" spans="1:16" x14ac:dyDescent="0.3">
      <c r="A5" s="109" t="s">
        <v>4</v>
      </c>
      <c r="B5" s="109" t="s">
        <v>9</v>
      </c>
      <c r="C5" s="110">
        <f t="shared" ref="C5:C8" si="3">F5/$F$20</f>
        <v>6.905792620078334E-2</v>
      </c>
      <c r="D5" s="97">
        <f t="shared" si="1"/>
        <v>5.6627534504762628E-2</v>
      </c>
      <c r="E5" s="31">
        <f t="shared" si="2"/>
        <v>4.4527955652188624E-2</v>
      </c>
      <c r="F5" s="17">
        <v>335</v>
      </c>
      <c r="G5" s="8">
        <f>F5*(1+J5)</f>
        <v>309.20500000000004</v>
      </c>
      <c r="H5" s="8">
        <f t="shared" ref="H5:I8" si="4">G5*(1+$J5)</f>
        <v>285.39621500000004</v>
      </c>
      <c r="I5" s="8">
        <f t="shared" si="4"/>
        <v>263.42070644500006</v>
      </c>
      <c r="J5" s="5">
        <v>-7.6999999999999999E-2</v>
      </c>
    </row>
    <row r="6" spans="1:16" x14ac:dyDescent="0.3">
      <c r="A6" s="109" t="s">
        <v>5</v>
      </c>
      <c r="B6" s="109" t="s">
        <v>9</v>
      </c>
      <c r="C6" s="110">
        <f t="shared" si="3"/>
        <v>3.6281179138321996E-2</v>
      </c>
      <c r="D6" s="97">
        <f t="shared" si="1"/>
        <v>2.9750585292054394E-2</v>
      </c>
      <c r="E6" s="31">
        <f t="shared" si="2"/>
        <v>2.4396249170617914E-2</v>
      </c>
      <c r="F6" s="17">
        <v>176</v>
      </c>
      <c r="G6" s="8">
        <f>F6*(1+J6)</f>
        <v>164.73599999999999</v>
      </c>
      <c r="H6" s="8">
        <f t="shared" si="4"/>
        <v>154.19289599999999</v>
      </c>
      <c r="I6" s="8">
        <f t="shared" si="4"/>
        <v>144.32455065599999</v>
      </c>
      <c r="J6" s="5">
        <v>-6.4000000000000001E-2</v>
      </c>
      <c r="L6" s="116"/>
      <c r="N6" s="4"/>
      <c r="P6" s="29">
        <v>4387267500</v>
      </c>
    </row>
    <row r="7" spans="1:16" x14ac:dyDescent="0.3">
      <c r="A7" s="109" t="s">
        <v>6</v>
      </c>
      <c r="B7" s="109" t="s">
        <v>9</v>
      </c>
      <c r="C7" s="110">
        <f t="shared" si="3"/>
        <v>2.5974025974025976E-2</v>
      </c>
      <c r="D7" s="97">
        <f t="shared" si="1"/>
        <v>2.1298714470448031E-2</v>
      </c>
      <c r="E7" s="31">
        <f t="shared" si="2"/>
        <v>5.476651334972997E-2</v>
      </c>
      <c r="F7" s="17">
        <v>126</v>
      </c>
      <c r="G7" s="8">
        <f>F7*(1+J7)</f>
        <v>172.62</v>
      </c>
      <c r="H7" s="8">
        <f t="shared" si="4"/>
        <v>236.48940000000002</v>
      </c>
      <c r="I7" s="8">
        <f t="shared" si="4"/>
        <v>323.99047800000005</v>
      </c>
      <c r="J7" s="5">
        <v>0.37</v>
      </c>
      <c r="L7" s="116"/>
      <c r="N7" s="4"/>
    </row>
    <row r="8" spans="1:16" x14ac:dyDescent="0.3">
      <c r="A8" s="109" t="s">
        <v>7</v>
      </c>
      <c r="B8" s="109" t="s">
        <v>9</v>
      </c>
      <c r="C8" s="110">
        <f t="shared" si="3"/>
        <v>1.3193156050298907E-2</v>
      </c>
      <c r="D8" s="97">
        <f t="shared" si="1"/>
        <v>1.0818394651656144E-2</v>
      </c>
      <c r="E8" s="31">
        <f t="shared" si="2"/>
        <v>1.0338832796639537E-2</v>
      </c>
      <c r="F8" s="17">
        <v>64</v>
      </c>
      <c r="G8" s="8">
        <f>F8*(1+J8)</f>
        <v>63.04</v>
      </c>
      <c r="H8" s="8">
        <f t="shared" si="4"/>
        <v>62.0944</v>
      </c>
      <c r="I8" s="8">
        <f t="shared" si="4"/>
        <v>61.162984000000002</v>
      </c>
      <c r="J8" s="5">
        <v>-1.4999999999999999E-2</v>
      </c>
      <c r="L8" s="4"/>
    </row>
    <row r="9" spans="1:16" x14ac:dyDescent="0.3">
      <c r="B9"/>
      <c r="C9" s="82"/>
      <c r="D9" s="97"/>
      <c r="E9" s="31"/>
      <c r="F9" s="17"/>
      <c r="G9" s="8"/>
      <c r="H9" s="8"/>
      <c r="I9" s="8"/>
      <c r="J9" s="5"/>
      <c r="L9" s="121">
        <v>0.56000000000000005</v>
      </c>
      <c r="M9" t="s">
        <v>127</v>
      </c>
    </row>
    <row r="10" spans="1:16" x14ac:dyDescent="0.3">
      <c r="A10" t="s">
        <v>8</v>
      </c>
      <c r="B10"/>
      <c r="C10" s="82">
        <f>F10/$F$20</f>
        <v>0.47701504844361986</v>
      </c>
      <c r="D10" s="97">
        <f>F10/$F$21</f>
        <v>0.39115258162394245</v>
      </c>
      <c r="E10" s="31">
        <f t="shared" si="2"/>
        <v>0.43619679488864649</v>
      </c>
      <c r="F10" s="66">
        <v>2314</v>
      </c>
      <c r="G10" s="8">
        <f>F10*(1+J10)</f>
        <v>2399.6179999999999</v>
      </c>
      <c r="H10" s="8">
        <f>G10*(1+$J10)</f>
        <v>2488.4038659999997</v>
      </c>
      <c r="I10" s="8">
        <f>H10*(1+$J10)</f>
        <v>2580.4748090419994</v>
      </c>
      <c r="J10" s="5">
        <v>3.6999999999999998E-2</v>
      </c>
      <c r="L10" s="118">
        <f>L15+L17</f>
        <v>0.55494983814667376</v>
      </c>
      <c r="M10" s="34" t="s">
        <v>129</v>
      </c>
      <c r="N10" s="27"/>
    </row>
    <row r="11" spans="1:16" x14ac:dyDescent="0.3">
      <c r="B11"/>
      <c r="C11" s="82"/>
      <c r="D11" s="97"/>
      <c r="E11" s="31"/>
      <c r="F11" s="68"/>
      <c r="G11" s="19"/>
      <c r="H11" s="6"/>
      <c r="I11" s="6"/>
      <c r="J11" s="5"/>
      <c r="L11" s="27">
        <f>D14+D16</f>
        <v>0.16210688235841003</v>
      </c>
      <c r="M11" s="34" t="s">
        <v>55</v>
      </c>
    </row>
    <row r="12" spans="1:16" x14ac:dyDescent="0.3">
      <c r="A12" s="2" t="s">
        <v>107</v>
      </c>
      <c r="B12"/>
      <c r="C12" s="82"/>
      <c r="D12" s="97"/>
      <c r="E12" s="31"/>
      <c r="F12" s="19"/>
      <c r="G12" s="6"/>
      <c r="H12" s="6"/>
      <c r="I12" s="6"/>
      <c r="J12" s="5"/>
      <c r="L12" s="27">
        <f>D10</f>
        <v>0.39115258162394245</v>
      </c>
      <c r="M12" t="s">
        <v>4</v>
      </c>
    </row>
    <row r="13" spans="1:16" x14ac:dyDescent="0.3">
      <c r="A13" s="111" t="s">
        <v>10</v>
      </c>
      <c r="B13" s="112" t="s">
        <v>9</v>
      </c>
      <c r="C13" s="113">
        <f t="shared" ref="C13:C16" si="5">F13/$F$20</f>
        <v>0.26881055452484026</v>
      </c>
      <c r="D13" s="97">
        <f t="shared" si="1"/>
        <v>0.22042479102749393</v>
      </c>
      <c r="E13" s="31">
        <f t="shared" si="2"/>
        <v>0.22710388262041803</v>
      </c>
      <c r="F13" s="17">
        <v>1304</v>
      </c>
      <c r="G13" s="15">
        <f>F13*(1+J13)</f>
        <v>1317.04</v>
      </c>
      <c r="H13" s="15">
        <f t="shared" ref="H13:I16" si="6">G13*(1+$J13)</f>
        <v>1330.2103999999999</v>
      </c>
      <c r="I13" s="15">
        <f t="shared" si="6"/>
        <v>1343.512504</v>
      </c>
      <c r="J13" s="5">
        <v>0.01</v>
      </c>
      <c r="L13" s="27">
        <f>D3</f>
        <v>0.13252533448278775</v>
      </c>
      <c r="M13" t="s">
        <v>3</v>
      </c>
    </row>
    <row r="14" spans="1:16" x14ac:dyDescent="0.3">
      <c r="A14" s="108" t="s">
        <v>11</v>
      </c>
      <c r="B14" s="109" t="s">
        <v>9</v>
      </c>
      <c r="C14" s="110">
        <f>F14/$F$20</f>
        <v>0.17584003298289014</v>
      </c>
      <c r="D14" s="97">
        <f t="shared" si="1"/>
        <v>0.14418891621660454</v>
      </c>
      <c r="E14" s="31">
        <f t="shared" si="2"/>
        <v>0.11976100678685224</v>
      </c>
      <c r="F14" s="17">
        <v>853</v>
      </c>
      <c r="G14" s="15">
        <f>F14*(1+J14)</f>
        <v>801.81999999999994</v>
      </c>
      <c r="H14" s="15">
        <f t="shared" si="6"/>
        <v>753.71079999999995</v>
      </c>
      <c r="I14" s="15">
        <f t="shared" si="6"/>
        <v>708.4881519999999</v>
      </c>
      <c r="J14" s="5">
        <v>-0.06</v>
      </c>
      <c r="L14" s="27">
        <f>L12-L13</f>
        <v>0.2586272471411547</v>
      </c>
      <c r="M14" t="s">
        <v>91</v>
      </c>
    </row>
    <row r="15" spans="1:16" x14ac:dyDescent="0.3">
      <c r="A15" s="111" t="s">
        <v>12</v>
      </c>
      <c r="B15" s="112" t="s">
        <v>9</v>
      </c>
      <c r="C15" s="113">
        <f t="shared" si="5"/>
        <v>5.6483199340342197E-2</v>
      </c>
      <c r="D15" s="97">
        <f t="shared" si="1"/>
        <v>4.6316252102402866E-2</v>
      </c>
      <c r="E15" s="31">
        <f t="shared" si="2"/>
        <v>6.3343542179061352E-2</v>
      </c>
      <c r="F15" s="17">
        <v>274</v>
      </c>
      <c r="G15" s="15">
        <f>F15*(1+J15)</f>
        <v>304.14000000000004</v>
      </c>
      <c r="H15" s="15">
        <f t="shared" si="6"/>
        <v>337.5954000000001</v>
      </c>
      <c r="I15" s="15">
        <f t="shared" si="6"/>
        <v>374.73089400000015</v>
      </c>
      <c r="J15" s="5">
        <v>0.11</v>
      </c>
      <c r="L15" s="27">
        <f>L11+SUM(D4:D8)-D3</f>
        <v>0.28820879501677699</v>
      </c>
      <c r="M15" s="13" t="s">
        <v>128</v>
      </c>
    </row>
    <row r="16" spans="1:16" x14ac:dyDescent="0.3">
      <c r="A16" s="108" t="s">
        <v>13</v>
      </c>
      <c r="B16" s="109" t="s">
        <v>9</v>
      </c>
      <c r="C16" s="110">
        <f t="shared" si="5"/>
        <v>2.1851164708307565E-2</v>
      </c>
      <c r="D16" s="97">
        <f t="shared" si="1"/>
        <v>1.7917966141805488E-2</v>
      </c>
      <c r="E16" s="31">
        <f t="shared" si="2"/>
        <v>2.8992989772222075E-2</v>
      </c>
      <c r="F16" s="17">
        <v>106</v>
      </c>
      <c r="G16" s="15">
        <f>F16*(1+J16)</f>
        <v>124.44399999999999</v>
      </c>
      <c r="H16" s="15">
        <f t="shared" si="6"/>
        <v>146.09725599999999</v>
      </c>
      <c r="I16" s="15">
        <f>H16*(1+$J16)</f>
        <v>171.51817854399997</v>
      </c>
      <c r="J16" s="5">
        <v>0.17399999999999999</v>
      </c>
      <c r="N16" s="27"/>
    </row>
    <row r="17" spans="1:13" x14ac:dyDescent="0.3">
      <c r="A17" s="3" t="s">
        <v>108</v>
      </c>
      <c r="B17"/>
      <c r="C17" s="84">
        <f>SUM(C13:C16)</f>
        <v>0.52298495155638025</v>
      </c>
      <c r="D17" s="97">
        <f t="shared" si="1"/>
        <v>0.4288479254883068</v>
      </c>
      <c r="E17" s="31"/>
      <c r="F17" s="67">
        <f>SUM(F13:F16)</f>
        <v>2537</v>
      </c>
      <c r="G17" s="67">
        <f t="shared" ref="G17" si="7">SUM(G13:G16)</f>
        <v>2547.4439999999995</v>
      </c>
      <c r="H17" s="67">
        <f>SUM(H13:H16)</f>
        <v>2567.6138559999999</v>
      </c>
      <c r="I17" s="67">
        <f>SUM(I13:I16)</f>
        <v>2598.2497285440004</v>
      </c>
      <c r="J17" s="21"/>
      <c r="L17" s="27">
        <f>D13+D15</f>
        <v>0.26674104312989677</v>
      </c>
      <c r="M17" s="41" t="s">
        <v>38</v>
      </c>
    </row>
    <row r="18" spans="1:13" x14ac:dyDescent="0.3">
      <c r="B18"/>
      <c r="C18" s="84"/>
      <c r="D18" s="97"/>
      <c r="E18" s="31"/>
      <c r="F18" s="67"/>
      <c r="G18" s="67"/>
      <c r="H18" s="67"/>
      <c r="I18" s="67"/>
      <c r="J18" s="21"/>
      <c r="L18" s="27">
        <f>D13</f>
        <v>0.22042479102749393</v>
      </c>
      <c r="M18" s="41" t="s">
        <v>10</v>
      </c>
    </row>
    <row r="19" spans="1:13" x14ac:dyDescent="0.3">
      <c r="A19" s="3" t="s">
        <v>121</v>
      </c>
      <c r="B19"/>
      <c r="C19" s="114" t="s">
        <v>123</v>
      </c>
      <c r="D19" s="97">
        <f>F19/$F$21</f>
        <v>0.17999949288775074</v>
      </c>
      <c r="E19" s="32"/>
      <c r="F19" s="115">
        <f>F21-F20</f>
        <v>1064.8500000000004</v>
      </c>
      <c r="G19" s="19"/>
      <c r="H19" s="19"/>
      <c r="I19" s="19"/>
      <c r="J19" s="21"/>
      <c r="L19" s="27">
        <f>D15</f>
        <v>4.6316252102402866E-2</v>
      </c>
      <c r="M19" s="35" t="s">
        <v>12</v>
      </c>
    </row>
    <row r="20" spans="1:13" x14ac:dyDescent="0.3">
      <c r="A20" s="3" t="s">
        <v>56</v>
      </c>
      <c r="B20"/>
      <c r="C20" s="84"/>
      <c r="D20" s="84"/>
      <c r="E20" s="32"/>
      <c r="F20" s="122">
        <f>F10+F17</f>
        <v>4851</v>
      </c>
      <c r="G20" s="115">
        <f>G10+G17</f>
        <v>4947.0619999999999</v>
      </c>
      <c r="H20" s="115">
        <f>H10+H17</f>
        <v>5056.0177219999996</v>
      </c>
      <c r="I20" s="115">
        <f>I10+I17</f>
        <v>5178.7245375860002</v>
      </c>
      <c r="J20" s="21"/>
      <c r="L20" s="27">
        <f>D3</f>
        <v>0.13252533448278775</v>
      </c>
      <c r="M20" s="4" t="s">
        <v>3</v>
      </c>
    </row>
    <row r="21" spans="1:13" x14ac:dyDescent="0.3">
      <c r="A21" s="3" t="s">
        <v>124</v>
      </c>
      <c r="B21"/>
      <c r="C21" s="84"/>
      <c r="D21" s="84"/>
      <c r="E21" s="32"/>
      <c r="F21" s="119">
        <v>5915.85</v>
      </c>
      <c r="G21" s="24">
        <f>853+106+2314+1578</f>
        <v>4851</v>
      </c>
      <c r="H21" t="s">
        <v>125</v>
      </c>
      <c r="I21" s="19"/>
      <c r="J21" s="21"/>
      <c r="L21" s="27">
        <f>L18+L19+L20</f>
        <v>0.39926637761268452</v>
      </c>
      <c r="M21" t="s">
        <v>39</v>
      </c>
    </row>
    <row r="22" spans="1:13" x14ac:dyDescent="0.3">
      <c r="G22" s="120">
        <f>G21/0.82</f>
        <v>5915.8536585365855</v>
      </c>
      <c r="H22" t="s">
        <v>126</v>
      </c>
      <c r="J22" s="21"/>
      <c r="L22" s="117">
        <v>0.82</v>
      </c>
      <c r="M22" t="s">
        <v>127</v>
      </c>
    </row>
    <row r="23" spans="1:13" x14ac:dyDescent="0.3">
      <c r="A23" s="3"/>
      <c r="B23"/>
      <c r="C23" s="84"/>
      <c r="D23" s="84"/>
      <c r="E23" s="32"/>
      <c r="I23" s="19"/>
      <c r="J23" s="21"/>
      <c r="L23" s="118">
        <f>L9+L17</f>
        <v>0.82674104312989682</v>
      </c>
      <c r="M23" t="s">
        <v>129</v>
      </c>
    </row>
    <row r="24" spans="1:13" x14ac:dyDescent="0.3">
      <c r="A24" s="3" t="s">
        <v>80</v>
      </c>
      <c r="B24"/>
      <c r="C24" s="84"/>
      <c r="D24" s="84"/>
      <c r="E24" s="32"/>
      <c r="F24" s="67">
        <v>4387.2674999999999</v>
      </c>
      <c r="G24" s="19"/>
    </row>
    <row r="25" spans="1:13" x14ac:dyDescent="0.3">
      <c r="A25" s="3"/>
      <c r="B25"/>
      <c r="C25" s="84"/>
      <c r="D25" s="84"/>
      <c r="E25" s="32"/>
      <c r="F25" s="19"/>
      <c r="G25" s="19"/>
      <c r="H25" s="19"/>
      <c r="I25" s="19"/>
      <c r="J25" s="21"/>
      <c r="L25" s="2" t="s">
        <v>130</v>
      </c>
    </row>
    <row r="26" spans="1:13" x14ac:dyDescent="0.3">
      <c r="A26" s="3"/>
      <c r="B26"/>
      <c r="C26" s="84"/>
      <c r="D26" s="84"/>
      <c r="E26" s="32"/>
      <c r="F26" s="6"/>
      <c r="G26" s="19"/>
      <c r="H26" s="19"/>
      <c r="I26" s="19"/>
      <c r="J26" s="21"/>
      <c r="L26" s="27">
        <f>L18+L19</f>
        <v>0.26674104312989677</v>
      </c>
      <c r="M26" t="s">
        <v>131</v>
      </c>
    </row>
    <row r="27" spans="1:13" x14ac:dyDescent="0.3">
      <c r="A27" s="20" t="s">
        <v>109</v>
      </c>
      <c r="B27" s="18"/>
      <c r="C27" s="82"/>
      <c r="D27" s="82"/>
      <c r="E27" s="31"/>
      <c r="F27" s="19"/>
      <c r="G27" s="19"/>
      <c r="H27" s="19"/>
      <c r="I27" s="19"/>
      <c r="J27" s="5"/>
      <c r="L27" s="27">
        <f>L20+L18</f>
        <v>0.35295012551028171</v>
      </c>
      <c r="M27" t="s">
        <v>132</v>
      </c>
    </row>
    <row r="28" spans="1:13" x14ac:dyDescent="0.3">
      <c r="B28"/>
      <c r="C28" s="82"/>
      <c r="D28" s="82"/>
      <c r="E28" s="31"/>
      <c r="F28" s="16">
        <v>1991</v>
      </c>
      <c r="G28" s="7">
        <v>1992</v>
      </c>
      <c r="H28" s="7">
        <v>1993</v>
      </c>
      <c r="I28" s="7">
        <v>1994</v>
      </c>
      <c r="L28" s="27">
        <f>L19</f>
        <v>4.6316252102402866E-2</v>
      </c>
      <c r="M28" t="s">
        <v>133</v>
      </c>
    </row>
    <row r="29" spans="1:13" x14ac:dyDescent="0.3">
      <c r="A29" s="9" t="s">
        <v>3</v>
      </c>
      <c r="B29" s="9"/>
      <c r="C29" s="82"/>
      <c r="D29" s="82"/>
      <c r="E29" s="31"/>
      <c r="F29" s="17">
        <f>F35</f>
        <v>784</v>
      </c>
      <c r="G29" s="11">
        <f>G35</f>
        <v>961.96800000000007</v>
      </c>
      <c r="H29" s="11">
        <f>H35</f>
        <v>1180.3347360000002</v>
      </c>
      <c r="I29" s="11">
        <f>I35</f>
        <v>1448.2707210720005</v>
      </c>
      <c r="J29" s="14">
        <f>J35</f>
        <v>0.22700000000000001</v>
      </c>
    </row>
    <row r="30" spans="1:13" x14ac:dyDescent="0.3">
      <c r="A30" t="s">
        <v>17</v>
      </c>
      <c r="B30"/>
      <c r="C30" s="82"/>
      <c r="D30" s="82"/>
      <c r="E30" s="31"/>
      <c r="F30" s="17">
        <f>F4</f>
        <v>829</v>
      </c>
      <c r="G30" s="8">
        <f>G4</f>
        <v>777.60199999999998</v>
      </c>
      <c r="H30" s="8">
        <f>H4</f>
        <v>729.39067599999998</v>
      </c>
      <c r="I30" s="8">
        <f>I4</f>
        <v>684.16845408799998</v>
      </c>
      <c r="J30" s="4">
        <f>J4</f>
        <v>-6.2E-2</v>
      </c>
      <c r="L30" s="2" t="s">
        <v>138</v>
      </c>
    </row>
    <row r="31" spans="1:13" x14ac:dyDescent="0.3">
      <c r="A31" t="s">
        <v>19</v>
      </c>
      <c r="B31"/>
      <c r="C31" s="82"/>
      <c r="D31" s="82"/>
      <c r="E31" s="31"/>
      <c r="F31" s="17">
        <f>F7</f>
        <v>126</v>
      </c>
      <c r="G31" s="8">
        <f>G7</f>
        <v>172.62</v>
      </c>
      <c r="H31" s="8">
        <f>H7</f>
        <v>236.48940000000002</v>
      </c>
      <c r="I31" s="8">
        <f>I7</f>
        <v>323.99047800000005</v>
      </c>
      <c r="J31" s="4">
        <f>J7</f>
        <v>0.37</v>
      </c>
      <c r="L31" s="27">
        <f>E3</f>
        <v>0.24481194098430495</v>
      </c>
      <c r="M31" t="s">
        <v>3</v>
      </c>
    </row>
    <row r="32" spans="1:13" x14ac:dyDescent="0.3">
      <c r="A32" t="s">
        <v>18</v>
      </c>
      <c r="B32"/>
      <c r="C32" s="82"/>
      <c r="D32" s="82"/>
      <c r="E32" s="31"/>
      <c r="F32" s="17">
        <f>SUM(F4:F9)/7</f>
        <v>218.57142857142858</v>
      </c>
      <c r="G32" s="8">
        <f>SUM(G4:G9)/7</f>
        <v>212.45757142857141</v>
      </c>
      <c r="H32" s="8">
        <f>SUM(H4:H9)/7</f>
        <v>209.65194099999999</v>
      </c>
      <c r="I32" s="8">
        <f>SUM(I4:I9)/7</f>
        <v>211.00959616985716</v>
      </c>
      <c r="J32" s="4">
        <f>SUM(J4:J9)</f>
        <v>0.15199999999999997</v>
      </c>
      <c r="L32" s="27">
        <f>E13</f>
        <v>0.22710388262041803</v>
      </c>
      <c r="M32" t="s">
        <v>10</v>
      </c>
    </row>
    <row r="33" spans="1:14" x14ac:dyDescent="0.3">
      <c r="B33"/>
      <c r="C33" s="82"/>
      <c r="D33" s="82"/>
      <c r="E33" s="31"/>
      <c r="L33" s="27">
        <f>E15</f>
        <v>6.3343542179061352E-2</v>
      </c>
      <c r="M33" t="s">
        <v>12</v>
      </c>
    </row>
    <row r="34" spans="1:14" x14ac:dyDescent="0.3">
      <c r="B34"/>
      <c r="C34" s="82"/>
      <c r="D34" s="82"/>
      <c r="E34" s="31"/>
      <c r="F34" s="16">
        <v>1991</v>
      </c>
      <c r="G34" s="7">
        <v>1992</v>
      </c>
      <c r="H34" s="7">
        <v>1993</v>
      </c>
      <c r="I34" s="7">
        <v>1994</v>
      </c>
      <c r="J34" s="4"/>
      <c r="L34" s="27">
        <f>E14+E16</f>
        <v>0.14875399655907431</v>
      </c>
      <c r="M34" s="123" t="s">
        <v>134</v>
      </c>
    </row>
    <row r="35" spans="1:14" x14ac:dyDescent="0.3">
      <c r="A35" s="9" t="s">
        <v>3</v>
      </c>
      <c r="B35" s="9"/>
      <c r="C35" s="82"/>
      <c r="D35" s="82"/>
      <c r="E35" s="31"/>
      <c r="F35" s="17">
        <f>F3</f>
        <v>784</v>
      </c>
      <c r="G35" s="11">
        <f>G3</f>
        <v>961.96800000000007</v>
      </c>
      <c r="H35" s="11">
        <f>H3</f>
        <v>1180.3347360000002</v>
      </c>
      <c r="I35" s="11">
        <f>I3</f>
        <v>1448.2707210720005</v>
      </c>
      <c r="J35" s="14">
        <f>J3</f>
        <v>0.22700000000000001</v>
      </c>
      <c r="L35" s="27">
        <f>E10-E3</f>
        <v>0.19138485390434154</v>
      </c>
      <c r="M35" t="s">
        <v>4</v>
      </c>
    </row>
    <row r="36" spans="1:14" x14ac:dyDescent="0.3">
      <c r="A36" t="s">
        <v>20</v>
      </c>
      <c r="B36"/>
      <c r="C36" s="82"/>
      <c r="D36" s="82"/>
      <c r="E36" s="31"/>
      <c r="F36" s="17">
        <f>F13</f>
        <v>1304</v>
      </c>
      <c r="G36" s="15">
        <f>G13</f>
        <v>1317.04</v>
      </c>
      <c r="H36" s="15">
        <f>H13</f>
        <v>1330.2103999999999</v>
      </c>
      <c r="I36" s="15">
        <f>I13</f>
        <v>1343.512504</v>
      </c>
      <c r="J36" s="4">
        <f>J13</f>
        <v>0.01</v>
      </c>
    </row>
    <row r="37" spans="1:14" x14ac:dyDescent="0.3">
      <c r="A37" t="s">
        <v>21</v>
      </c>
      <c r="B37"/>
      <c r="C37" s="82"/>
      <c r="D37" s="82"/>
      <c r="E37" s="31"/>
      <c r="F37" s="17">
        <f>F16</f>
        <v>106</v>
      </c>
      <c r="G37" s="15">
        <f>G16</f>
        <v>124.44399999999999</v>
      </c>
      <c r="H37" s="15">
        <f>H16</f>
        <v>146.09725599999999</v>
      </c>
      <c r="I37" s="15">
        <f>I16</f>
        <v>171.51817854399997</v>
      </c>
      <c r="J37" s="4">
        <f>J16</f>
        <v>0.17399999999999999</v>
      </c>
      <c r="L37" s="2" t="s">
        <v>135</v>
      </c>
    </row>
    <row r="38" spans="1:14" x14ac:dyDescent="0.3">
      <c r="B38"/>
      <c r="L38" s="27">
        <f>L31+L32</f>
        <v>0.47191582360472295</v>
      </c>
      <c r="M38" t="s">
        <v>29</v>
      </c>
    </row>
    <row r="39" spans="1:14" x14ac:dyDescent="0.3">
      <c r="B39"/>
      <c r="L39" s="27">
        <f>L34+L35</f>
        <v>0.34013885046341585</v>
      </c>
      <c r="M39" t="s">
        <v>28</v>
      </c>
    </row>
    <row r="40" spans="1:14" x14ac:dyDescent="0.3">
      <c r="A40" t="s">
        <v>3</v>
      </c>
      <c r="B40" s="25">
        <f>F40/$B$45</f>
        <v>0.17870982448142239</v>
      </c>
      <c r="C40" s="85"/>
      <c r="D40" s="85"/>
      <c r="E40" s="25"/>
      <c r="F40">
        <v>784</v>
      </c>
      <c r="L40" s="2" t="s">
        <v>139</v>
      </c>
    </row>
    <row r="41" spans="1:14" x14ac:dyDescent="0.3">
      <c r="A41" s="3" t="s">
        <v>10</v>
      </c>
      <c r="B41" s="25">
        <f>F41/$B$45</f>
        <v>0.29724185092318212</v>
      </c>
      <c r="C41" s="85"/>
      <c r="D41" s="85"/>
      <c r="E41" s="25"/>
      <c r="F41" s="24">
        <v>1304</v>
      </c>
      <c r="L41" s="27">
        <f>N41</f>
        <v>0.30815548316336627</v>
      </c>
      <c r="M41" t="s">
        <v>136</v>
      </c>
      <c r="N41" s="27">
        <f>L31+L33</f>
        <v>0.30815548316336627</v>
      </c>
    </row>
    <row r="42" spans="1:14" x14ac:dyDescent="0.3">
      <c r="A42" t="s">
        <v>2</v>
      </c>
      <c r="B42" s="25">
        <f>F42/$B$45</f>
        <v>0.18896740369272852</v>
      </c>
      <c r="C42" s="85"/>
      <c r="D42" s="85"/>
      <c r="E42" s="25"/>
      <c r="F42" s="24">
        <v>829</v>
      </c>
      <c r="L42" s="27">
        <f t="shared" ref="L42:L44" si="8">N42</f>
        <v>0.34013885046341585</v>
      </c>
      <c r="M42" t="s">
        <v>28</v>
      </c>
      <c r="N42" s="27">
        <f>L39</f>
        <v>0.34013885046341585</v>
      </c>
    </row>
    <row r="43" spans="1:14" x14ac:dyDescent="0.3">
      <c r="A43" t="s">
        <v>4</v>
      </c>
      <c r="B43" s="25">
        <f>F43/$B$45</f>
        <v>7.6361978573056752E-2</v>
      </c>
      <c r="C43" s="85"/>
      <c r="D43" s="85"/>
      <c r="E43" s="25"/>
      <c r="F43" s="24">
        <v>335</v>
      </c>
      <c r="L43" s="27">
        <f t="shared" si="8"/>
        <v>0.22710388262041803</v>
      </c>
      <c r="M43" t="s">
        <v>10</v>
      </c>
      <c r="N43" s="27">
        <f>L32</f>
        <v>0.22710388262041803</v>
      </c>
    </row>
    <row r="44" spans="1:14" x14ac:dyDescent="0.3">
      <c r="A44" t="s">
        <v>32</v>
      </c>
      <c r="B44" s="25">
        <f>1-(SUM(B40:B43))</f>
        <v>0.25871894232961035</v>
      </c>
      <c r="C44" s="85"/>
      <c r="D44" s="85"/>
      <c r="E44" s="25"/>
      <c r="F44" s="24"/>
      <c r="L44" s="27">
        <f t="shared" si="8"/>
        <v>0.12460178375279984</v>
      </c>
      <c r="M44" s="125" t="s">
        <v>137</v>
      </c>
      <c r="N44" s="124">
        <f>1-SUM(N41:N43)</f>
        <v>0.12460178375279984</v>
      </c>
    </row>
    <row r="45" spans="1:14" x14ac:dyDescent="0.3">
      <c r="A45" s="18" t="s">
        <v>31</v>
      </c>
      <c r="B45" s="6">
        <v>4387</v>
      </c>
      <c r="C45" s="86"/>
      <c r="D45" s="86"/>
      <c r="E45" s="6"/>
    </row>
    <row r="46" spans="1:14" x14ac:dyDescent="0.3">
      <c r="B46"/>
    </row>
    <row r="47" spans="1:14" x14ac:dyDescent="0.3">
      <c r="A47" s="1" t="s">
        <v>58</v>
      </c>
      <c r="B47"/>
    </row>
    <row r="48" spans="1:14" x14ac:dyDescent="0.3">
      <c r="A48" t="s">
        <v>3</v>
      </c>
      <c r="B48" s="4">
        <v>0.16161616161616163</v>
      </c>
    </row>
    <row r="49" spans="1:2" x14ac:dyDescent="0.3">
      <c r="A49" t="s">
        <v>2</v>
      </c>
      <c r="B49" s="4">
        <v>0.17089259946402804</v>
      </c>
    </row>
    <row r="50" spans="1:2" x14ac:dyDescent="0.3">
      <c r="A50" t="s">
        <v>4</v>
      </c>
      <c r="B50" s="4">
        <v>6.905792620078334E-2</v>
      </c>
    </row>
    <row r="51" spans="1:2" x14ac:dyDescent="0.3">
      <c r="A51" t="s">
        <v>5</v>
      </c>
      <c r="B51" s="4">
        <v>3.6281179138321996E-2</v>
      </c>
    </row>
    <row r="52" spans="1:2" x14ac:dyDescent="0.3">
      <c r="A52" t="s">
        <v>6</v>
      </c>
      <c r="B52" s="4">
        <v>2.5974025974025976E-2</v>
      </c>
    </row>
    <row r="53" spans="1:2" x14ac:dyDescent="0.3">
      <c r="A53" t="s">
        <v>7</v>
      </c>
      <c r="B53" s="4">
        <v>1.3193156050298907E-2</v>
      </c>
    </row>
    <row r="54" spans="1:2" x14ac:dyDescent="0.3">
      <c r="A54" t="s">
        <v>59</v>
      </c>
      <c r="B54" s="4">
        <f>SUM(B48:B53)</f>
        <v>0.47701504844361992</v>
      </c>
    </row>
    <row r="55" spans="1:2" x14ac:dyDescent="0.3">
      <c r="A55" s="1"/>
    </row>
    <row r="56" spans="1:2" x14ac:dyDescent="0.3">
      <c r="A56" s="1" t="s">
        <v>57</v>
      </c>
    </row>
    <row r="57" spans="1:2" x14ac:dyDescent="0.3">
      <c r="A57" t="s">
        <v>10</v>
      </c>
      <c r="B57" s="4">
        <v>0.26881055452484026</v>
      </c>
    </row>
    <row r="58" spans="1:2" x14ac:dyDescent="0.3">
      <c r="A58" t="s">
        <v>11</v>
      </c>
      <c r="B58" s="4">
        <v>0.17584003298289014</v>
      </c>
    </row>
    <row r="59" spans="1:2" x14ac:dyDescent="0.3">
      <c r="A59" t="s">
        <v>12</v>
      </c>
      <c r="B59" s="4">
        <v>5.6483199340342197E-2</v>
      </c>
    </row>
    <row r="60" spans="1:2" x14ac:dyDescent="0.3">
      <c r="A60" t="s">
        <v>13</v>
      </c>
      <c r="B60" s="4">
        <v>2.1851164708307565E-2</v>
      </c>
    </row>
  </sheetData>
  <mergeCells count="1">
    <mergeCell ref="G1:I1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7" workbookViewId="0">
      <selection activeCell="A18" sqref="A18"/>
    </sheetView>
  </sheetViews>
  <sheetFormatPr defaultRowHeight="14.4" x14ac:dyDescent="0.3"/>
  <cols>
    <col min="1" max="1" width="32.77734375" customWidth="1"/>
    <col min="2" max="2" width="15.44140625" customWidth="1"/>
    <col min="3" max="3" width="15.21875" bestFit="1" customWidth="1"/>
    <col min="4" max="4" width="19.21875" bestFit="1" customWidth="1"/>
    <col min="5" max="5" width="15.44140625" customWidth="1"/>
    <col min="6" max="6" width="15.6640625" bestFit="1" customWidth="1"/>
  </cols>
  <sheetData>
    <row r="1" spans="1:7" x14ac:dyDescent="0.3">
      <c r="A1" s="2" t="s">
        <v>110</v>
      </c>
    </row>
    <row r="2" spans="1:7" x14ac:dyDescent="0.3">
      <c r="A2" t="s">
        <v>22</v>
      </c>
      <c r="B2" s="3">
        <v>77</v>
      </c>
      <c r="C2" t="s">
        <v>33</v>
      </c>
      <c r="D2" s="1" t="s">
        <v>79</v>
      </c>
    </row>
    <row r="3" spans="1:7" x14ac:dyDescent="0.3">
      <c r="A3" t="s">
        <v>23</v>
      </c>
      <c r="B3" s="22">
        <v>56977500</v>
      </c>
      <c r="C3" s="22"/>
      <c r="D3" s="2">
        <v>4851</v>
      </c>
      <c r="E3" s="65">
        <v>57019000</v>
      </c>
    </row>
    <row r="4" spans="1:7" x14ac:dyDescent="0.3">
      <c r="A4" t="s">
        <v>24</v>
      </c>
      <c r="B4" s="6">
        <f>B2*B3</f>
        <v>4387267500</v>
      </c>
      <c r="D4" s="25">
        <f>E3*B2</f>
        <v>4390463000</v>
      </c>
    </row>
    <row r="6" spans="1:7" x14ac:dyDescent="0.3">
      <c r="A6" t="s">
        <v>25</v>
      </c>
      <c r="B6" s="23">
        <v>2314000000</v>
      </c>
      <c r="C6" t="s">
        <v>33</v>
      </c>
      <c r="D6" s="22">
        <v>2314000000</v>
      </c>
    </row>
    <row r="7" spans="1:7" x14ac:dyDescent="0.3">
      <c r="A7" t="s">
        <v>53</v>
      </c>
      <c r="B7" s="102">
        <f>B6/B4</f>
        <v>0.52743535697333244</v>
      </c>
      <c r="D7" s="25">
        <f>D6/D4</f>
        <v>0.52705147498111249</v>
      </c>
    </row>
    <row r="8" spans="1:7" x14ac:dyDescent="0.3">
      <c r="A8" t="s">
        <v>26</v>
      </c>
      <c r="B8" s="24">
        <v>784000000</v>
      </c>
      <c r="C8" t="s">
        <v>33</v>
      </c>
    </row>
    <row r="9" spans="1:7" x14ac:dyDescent="0.3">
      <c r="A9" t="s">
        <v>52</v>
      </c>
      <c r="B9" s="46">
        <f>B8/B6</f>
        <v>0.33880726015557477</v>
      </c>
      <c r="C9" s="27">
        <f>1-B9</f>
        <v>0.66119273984442528</v>
      </c>
    </row>
    <row r="11" spans="1:7" x14ac:dyDescent="0.3">
      <c r="A11" t="s">
        <v>3</v>
      </c>
      <c r="B11">
        <v>0.178709824481422</v>
      </c>
      <c r="C11" t="s">
        <v>54</v>
      </c>
    </row>
    <row r="12" spans="1:7" x14ac:dyDescent="0.3">
      <c r="A12" t="s">
        <v>10</v>
      </c>
      <c r="B12">
        <v>0.29724185092318212</v>
      </c>
    </row>
    <row r="13" spans="1:7" x14ac:dyDescent="0.3">
      <c r="A13" t="s">
        <v>2</v>
      </c>
      <c r="B13">
        <v>0.18896740369272852</v>
      </c>
      <c r="D13" t="s">
        <v>28</v>
      </c>
      <c r="F13" t="s">
        <v>28</v>
      </c>
      <c r="G13" t="s">
        <v>86</v>
      </c>
    </row>
    <row r="14" spans="1:7" x14ac:dyDescent="0.3">
      <c r="A14" t="s">
        <v>4</v>
      </c>
      <c r="B14">
        <v>7.6361978573056752E-2</v>
      </c>
      <c r="D14" t="s">
        <v>84</v>
      </c>
      <c r="F14" t="s">
        <v>85</v>
      </c>
    </row>
    <row r="15" spans="1:7" x14ac:dyDescent="0.3">
      <c r="A15" t="s">
        <v>32</v>
      </c>
      <c r="B15">
        <v>0.25871894232961035</v>
      </c>
      <c r="D15" s="69">
        <v>13190807000</v>
      </c>
      <c r="E15" t="s">
        <v>83</v>
      </c>
    </row>
    <row r="16" spans="1:7" x14ac:dyDescent="0.3">
      <c r="A16" t="s">
        <v>31</v>
      </c>
      <c r="B16">
        <v>4387</v>
      </c>
      <c r="D16">
        <v>6.9633500000000002</v>
      </c>
      <c r="E16" t="s">
        <v>82</v>
      </c>
    </row>
    <row r="17" spans="4:6" x14ac:dyDescent="0.3">
      <c r="D17" s="70">
        <f>D15/D16</f>
        <v>1894319113.6450129</v>
      </c>
      <c r="E17" t="s">
        <v>81</v>
      </c>
      <c r="F17" s="71">
        <f>D17*0.46</f>
        <v>871386792.27670598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workbookViewId="0"/>
  </sheetViews>
  <sheetFormatPr defaultRowHeight="14.4" x14ac:dyDescent="0.3"/>
  <cols>
    <col min="1" max="1" width="38.33203125" customWidth="1"/>
    <col min="2" max="2" width="10.33203125" style="4" customWidth="1"/>
    <col min="6" max="6" width="15.21875" customWidth="1"/>
    <col min="7" max="7" width="10" style="4" bestFit="1" customWidth="1"/>
    <col min="9" max="9" width="23.109375" customWidth="1"/>
    <col min="10" max="10" width="31.33203125" customWidth="1"/>
  </cols>
  <sheetData>
    <row r="1" spans="1:6" x14ac:dyDescent="0.3">
      <c r="B1" s="4" t="s">
        <v>35</v>
      </c>
    </row>
    <row r="2" spans="1:6" x14ac:dyDescent="0.3">
      <c r="A2" s="34" t="s">
        <v>51</v>
      </c>
      <c r="B2" s="36">
        <v>0.56000000000000005</v>
      </c>
      <c r="C2" s="27" t="s">
        <v>33</v>
      </c>
      <c r="D2" s="27"/>
      <c r="E2" s="44" t="s">
        <v>42</v>
      </c>
    </row>
    <row r="3" spans="1:6" x14ac:dyDescent="0.3">
      <c r="A3" s="34" t="s">
        <v>55</v>
      </c>
      <c r="B3" s="36">
        <f>SUM(B4:B5)</f>
        <v>0.1976911976911977</v>
      </c>
      <c r="C3" s="27"/>
      <c r="D3" s="27"/>
    </row>
    <row r="4" spans="1:6" x14ac:dyDescent="0.3">
      <c r="A4" s="42" t="s">
        <v>34</v>
      </c>
      <c r="B4" s="38">
        <v>0.17584003298289014</v>
      </c>
      <c r="C4" s="39"/>
      <c r="D4" s="106"/>
      <c r="E4" s="27"/>
    </row>
    <row r="5" spans="1:6" x14ac:dyDescent="0.3">
      <c r="A5" s="43" t="s">
        <v>36</v>
      </c>
      <c r="B5" s="4">
        <v>2.1851164708307565E-2</v>
      </c>
      <c r="C5" s="40" t="s">
        <v>41</v>
      </c>
      <c r="D5" s="107"/>
      <c r="E5" s="27"/>
    </row>
    <row r="6" spans="1:6" x14ac:dyDescent="0.3">
      <c r="A6" s="60" t="s">
        <v>72</v>
      </c>
      <c r="B6" s="61">
        <v>0.48</v>
      </c>
      <c r="C6" s="40"/>
      <c r="D6" s="107"/>
      <c r="E6" s="45" t="s">
        <v>76</v>
      </c>
    </row>
    <row r="7" spans="1:6" x14ac:dyDescent="0.3">
      <c r="A7" s="62" t="s">
        <v>71</v>
      </c>
      <c r="B7" s="63">
        <f>B6-B13</f>
        <v>0.31838383838383832</v>
      </c>
      <c r="C7" s="40"/>
      <c r="D7" s="107"/>
      <c r="E7" s="104" t="s">
        <v>113</v>
      </c>
    </row>
    <row r="8" spans="1:6" x14ac:dyDescent="0.3">
      <c r="A8" s="13" t="s">
        <v>102</v>
      </c>
      <c r="B8" s="37">
        <f>B4+B5+B7</f>
        <v>0.51607503607503602</v>
      </c>
      <c r="C8" s="40"/>
      <c r="D8" s="107"/>
      <c r="E8" s="45" t="s">
        <v>73</v>
      </c>
    </row>
    <row r="9" spans="1:6" x14ac:dyDescent="0.3">
      <c r="C9" s="103"/>
      <c r="D9" s="103">
        <f>B8+B14</f>
        <v>1.00298495155638</v>
      </c>
      <c r="E9" s="27"/>
    </row>
    <row r="10" spans="1:6" x14ac:dyDescent="0.3">
      <c r="A10" s="41" t="s">
        <v>38</v>
      </c>
      <c r="B10" s="4">
        <f>B11+B12</f>
        <v>0.32529375386518244</v>
      </c>
    </row>
    <row r="11" spans="1:6" x14ac:dyDescent="0.3">
      <c r="A11" s="41" t="s">
        <v>10</v>
      </c>
      <c r="B11" s="4">
        <v>0.26881055452484026</v>
      </c>
      <c r="C11" s="4"/>
      <c r="D11" s="4"/>
      <c r="E11" s="27"/>
    </row>
    <row r="12" spans="1:6" x14ac:dyDescent="0.3">
      <c r="A12" s="35" t="s">
        <v>12</v>
      </c>
      <c r="B12" s="4">
        <v>5.6483199340342197E-2</v>
      </c>
      <c r="C12" s="4"/>
      <c r="D12" s="4"/>
      <c r="E12" s="27">
        <v>0.48</v>
      </c>
      <c r="F12" s="27"/>
    </row>
    <row r="13" spans="1:6" x14ac:dyDescent="0.3">
      <c r="A13" s="4" t="s">
        <v>37</v>
      </c>
      <c r="B13" s="4">
        <v>0.16161616161616163</v>
      </c>
      <c r="E13" s="27">
        <f>E12-B13</f>
        <v>0.31838383838383832</v>
      </c>
      <c r="F13" s="27"/>
    </row>
    <row r="14" spans="1:6" x14ac:dyDescent="0.3">
      <c r="A14" t="s">
        <v>39</v>
      </c>
      <c r="B14" s="4">
        <f>B10+B13</f>
        <v>0.4869099154813441</v>
      </c>
      <c r="E14" s="44" t="s">
        <v>62</v>
      </c>
    </row>
    <row r="15" spans="1:6" x14ac:dyDescent="0.3">
      <c r="E15" s="44"/>
    </row>
    <row r="16" spans="1:6" x14ac:dyDescent="0.3">
      <c r="A16" s="2" t="s">
        <v>63</v>
      </c>
    </row>
    <row r="17" spans="1:10" x14ac:dyDescent="0.3">
      <c r="A17" s="28" t="s">
        <v>27</v>
      </c>
      <c r="B17" s="36">
        <v>0.82</v>
      </c>
      <c r="C17" t="s">
        <v>33</v>
      </c>
      <c r="E17" s="27"/>
    </row>
    <row r="18" spans="1:10" x14ac:dyDescent="0.3">
      <c r="A18" t="s">
        <v>50</v>
      </c>
      <c r="B18" s="27">
        <f>B3+B10</f>
        <v>0.52298495155638014</v>
      </c>
      <c r="C18" t="s">
        <v>43</v>
      </c>
      <c r="E18" s="27"/>
    </row>
    <row r="19" spans="1:10" x14ac:dyDescent="0.3">
      <c r="A19" s="26" t="s">
        <v>40</v>
      </c>
      <c r="B19" s="4">
        <f>B8+B14</f>
        <v>1.00298495155638</v>
      </c>
      <c r="C19" t="s">
        <v>43</v>
      </c>
      <c r="E19" s="27" t="s">
        <v>60</v>
      </c>
    </row>
    <row r="20" spans="1:10" x14ac:dyDescent="0.3">
      <c r="A20" s="26"/>
      <c r="E20" s="27"/>
    </row>
    <row r="21" spans="1:10" x14ac:dyDescent="0.3">
      <c r="A21" s="33" t="s">
        <v>64</v>
      </c>
      <c r="B21" s="4">
        <f>SUM(B22:B24)</f>
        <v>0.4869099154813441</v>
      </c>
      <c r="E21" s="27"/>
    </row>
    <row r="22" spans="1:10" x14ac:dyDescent="0.3">
      <c r="A22" s="26" t="s">
        <v>10</v>
      </c>
      <c r="B22" s="4">
        <v>0.26881055452484026</v>
      </c>
      <c r="E22" s="27"/>
    </row>
    <row r="23" spans="1:10" x14ac:dyDescent="0.3">
      <c r="A23" s="26" t="s">
        <v>12</v>
      </c>
      <c r="B23" s="4">
        <v>5.6483199340342197E-2</v>
      </c>
      <c r="E23" s="27"/>
    </row>
    <row r="24" spans="1:10" x14ac:dyDescent="0.3">
      <c r="A24" s="26" t="s">
        <v>37</v>
      </c>
      <c r="B24" s="4">
        <v>0.16161616161616163</v>
      </c>
      <c r="E24" s="27"/>
    </row>
    <row r="25" spans="1:10" x14ac:dyDescent="0.3">
      <c r="A25" s="26" t="s">
        <v>65</v>
      </c>
      <c r="B25" s="4">
        <f>B22+B23</f>
        <v>0.32529375386518244</v>
      </c>
      <c r="E25" s="27"/>
    </row>
    <row r="26" spans="1:10" x14ac:dyDescent="0.3">
      <c r="A26" s="26" t="s">
        <v>66</v>
      </c>
      <c r="B26" s="4">
        <f>B22+B24</f>
        <v>0.43042671614100192</v>
      </c>
      <c r="E26" s="27"/>
    </row>
    <row r="27" spans="1:10" x14ac:dyDescent="0.3">
      <c r="A27" s="28" t="s">
        <v>67</v>
      </c>
      <c r="B27" s="36">
        <f>B23+B24</f>
        <v>0.21809936095650384</v>
      </c>
      <c r="C27" s="44" t="s">
        <v>68</v>
      </c>
      <c r="D27" s="44"/>
      <c r="E27" s="27"/>
    </row>
    <row r="28" spans="1:10" x14ac:dyDescent="0.3">
      <c r="A28" s="28"/>
      <c r="B28" s="36"/>
      <c r="C28" s="44"/>
      <c r="D28" s="44"/>
      <c r="E28" s="27"/>
    </row>
    <row r="29" spans="1:10" x14ac:dyDescent="0.3">
      <c r="A29" s="33" t="s">
        <v>69</v>
      </c>
      <c r="B29" s="36"/>
      <c r="C29" s="44"/>
      <c r="D29" s="44"/>
      <c r="E29" s="27"/>
      <c r="G29" s="6"/>
      <c r="I29" s="137" t="s">
        <v>90</v>
      </c>
      <c r="J29" s="137"/>
    </row>
    <row r="30" spans="1:10" x14ac:dyDescent="0.3">
      <c r="A30" s="59" t="s">
        <v>29</v>
      </c>
      <c r="B30" s="64">
        <f>SUM(B31:B32)</f>
        <v>0.21809936095650384</v>
      </c>
      <c r="C30" s="44" t="s">
        <v>74</v>
      </c>
      <c r="D30" s="44"/>
      <c r="E30" s="27"/>
      <c r="F30" s="1"/>
      <c r="G30" s="64"/>
      <c r="I30" s="1" t="s">
        <v>29</v>
      </c>
      <c r="J30" s="64">
        <f>SUM(J31:J32)</f>
        <v>0.3520174903764568</v>
      </c>
    </row>
    <row r="31" spans="1:10" x14ac:dyDescent="0.3">
      <c r="A31" s="26" t="s">
        <v>3</v>
      </c>
      <c r="B31" s="4">
        <v>0.16161616161616163</v>
      </c>
      <c r="C31" s="44"/>
      <c r="D31" s="44"/>
      <c r="E31" s="27"/>
      <c r="I31" t="s">
        <v>3</v>
      </c>
      <c r="J31" s="4">
        <v>0.27965780194732937</v>
      </c>
    </row>
    <row r="32" spans="1:10" x14ac:dyDescent="0.3">
      <c r="A32" s="26" t="s">
        <v>12</v>
      </c>
      <c r="B32" s="4">
        <v>5.6483199340342197E-2</v>
      </c>
      <c r="C32" s="44"/>
      <c r="D32" s="44"/>
      <c r="E32" s="27"/>
      <c r="I32" t="s">
        <v>12</v>
      </c>
      <c r="J32" s="4">
        <v>7.2359688429127461E-2</v>
      </c>
    </row>
    <row r="33" spans="1:10" x14ac:dyDescent="0.3">
      <c r="C33" s="44"/>
      <c r="D33" s="44"/>
      <c r="E33" s="27"/>
      <c r="J33" s="4"/>
    </row>
    <row r="34" spans="1:10" x14ac:dyDescent="0.3">
      <c r="A34" s="59" t="s">
        <v>28</v>
      </c>
      <c r="B34" s="64">
        <f>SUM(B35:B37)</f>
        <v>0.33607503607503603</v>
      </c>
      <c r="C34" s="44" t="s">
        <v>77</v>
      </c>
      <c r="D34" s="44"/>
      <c r="E34" s="27"/>
      <c r="G34" s="64"/>
      <c r="I34" s="1" t="s">
        <v>28</v>
      </c>
      <c r="J34" s="64">
        <f>SUM(J35:J37)</f>
        <v>0.38992723288468328</v>
      </c>
    </row>
    <row r="35" spans="1:10" x14ac:dyDescent="0.3">
      <c r="A35" s="28" t="s">
        <v>91</v>
      </c>
      <c r="B35" s="36">
        <v>0.13838383838383836</v>
      </c>
      <c r="C35" s="44"/>
      <c r="D35" s="44"/>
      <c r="E35" s="27"/>
      <c r="F35" s="28"/>
      <c r="I35" s="28" t="s">
        <v>91</v>
      </c>
      <c r="J35" s="4">
        <v>0.22</v>
      </c>
    </row>
    <row r="36" spans="1:10" x14ac:dyDescent="0.3">
      <c r="A36" s="28" t="s">
        <v>11</v>
      </c>
      <c r="B36" s="36">
        <v>0.17584003298289014</v>
      </c>
      <c r="C36" s="44"/>
      <c r="D36" s="44"/>
      <c r="E36" s="27"/>
      <c r="I36" t="s">
        <v>11</v>
      </c>
      <c r="J36" s="4">
        <v>0.13680746038101749</v>
      </c>
    </row>
    <row r="37" spans="1:10" x14ac:dyDescent="0.3">
      <c r="A37" s="28" t="s">
        <v>13</v>
      </c>
      <c r="B37" s="36">
        <v>2.1851164708307565E-2</v>
      </c>
      <c r="C37" s="44"/>
      <c r="D37" s="44"/>
      <c r="E37" s="27"/>
      <c r="I37" t="s">
        <v>13</v>
      </c>
      <c r="J37" s="4">
        <v>3.3119772503665754E-2</v>
      </c>
    </row>
    <row r="38" spans="1:10" x14ac:dyDescent="0.3">
      <c r="A38" s="28"/>
      <c r="B38" s="36"/>
      <c r="C38" s="44"/>
      <c r="D38" s="44"/>
      <c r="E38" s="27"/>
      <c r="J38" s="4"/>
    </row>
    <row r="39" spans="1:10" x14ac:dyDescent="0.3">
      <c r="A39" s="59" t="s">
        <v>70</v>
      </c>
      <c r="B39" s="64">
        <f>SUM(B40:B41)</f>
        <v>0.26881055452484026</v>
      </c>
      <c r="C39" s="44" t="s">
        <v>75</v>
      </c>
      <c r="D39" s="44"/>
      <c r="E39" s="27"/>
      <c r="F39" s="1"/>
      <c r="G39" s="64"/>
      <c r="I39" s="1" t="s">
        <v>89</v>
      </c>
      <c r="J39" s="64">
        <f>SUM(J40:J41)</f>
        <v>0.25942922707108534</v>
      </c>
    </row>
    <row r="40" spans="1:10" x14ac:dyDescent="0.3">
      <c r="A40" s="28" t="s">
        <v>10</v>
      </c>
      <c r="B40" s="36">
        <v>0.26881055452484026</v>
      </c>
      <c r="C40" s="44"/>
      <c r="D40" s="44"/>
      <c r="E40" s="27"/>
      <c r="I40" t="s">
        <v>10</v>
      </c>
      <c r="J40" s="4">
        <v>0.25942922707108534</v>
      </c>
    </row>
    <row r="41" spans="1:10" x14ac:dyDescent="0.3">
      <c r="C41" s="44"/>
      <c r="D41" s="44"/>
      <c r="E41" s="27"/>
    </row>
    <row r="42" spans="1:10" x14ac:dyDescent="0.3">
      <c r="A42" s="28" t="s">
        <v>78</v>
      </c>
      <c r="B42" s="4">
        <f>B30+B34</f>
        <v>0.55417439703153981</v>
      </c>
      <c r="C42" s="44"/>
      <c r="D42" s="44"/>
      <c r="E42" s="27"/>
      <c r="I42" s="28" t="s">
        <v>78</v>
      </c>
      <c r="J42" s="4">
        <f>J30+J34</f>
        <v>0.74194472326114003</v>
      </c>
    </row>
    <row r="43" spans="1:10" x14ac:dyDescent="0.3">
      <c r="A43" s="28" t="s">
        <v>92</v>
      </c>
      <c r="B43" s="4">
        <f>B42+B39</f>
        <v>0.82298495155638007</v>
      </c>
      <c r="C43" s="44"/>
      <c r="D43" s="44"/>
      <c r="E43" s="27"/>
      <c r="I43" s="28" t="s">
        <v>92</v>
      </c>
      <c r="J43" s="4">
        <f>J42+J39</f>
        <v>1.0013739503322254</v>
      </c>
    </row>
    <row r="44" spans="1:10" x14ac:dyDescent="0.3">
      <c r="A44" s="28" t="s">
        <v>93</v>
      </c>
      <c r="B44" s="36">
        <f>1-B43</f>
        <v>0.17701504844361993</v>
      </c>
      <c r="E44" s="27"/>
      <c r="I44" s="28" t="s">
        <v>93</v>
      </c>
      <c r="J44" s="36">
        <f>1-J43</f>
        <v>-1.3739503322254265E-3</v>
      </c>
    </row>
    <row r="45" spans="1:10" x14ac:dyDescent="0.3">
      <c r="A45" s="26"/>
      <c r="E45" s="27"/>
    </row>
    <row r="46" spans="1:10" x14ac:dyDescent="0.3">
      <c r="E46" s="45"/>
    </row>
    <row r="47" spans="1:10" x14ac:dyDescent="0.3">
      <c r="A47" s="47" t="s">
        <v>61</v>
      </c>
      <c r="B47" s="48"/>
    </row>
    <row r="48" spans="1:10" x14ac:dyDescent="0.3">
      <c r="A48" s="49" t="s">
        <v>111</v>
      </c>
      <c r="B48" s="50"/>
      <c r="C48" s="4"/>
      <c r="D48" s="4"/>
      <c r="E48" s="27"/>
    </row>
    <row r="49" spans="1:5" x14ac:dyDescent="0.3">
      <c r="A49" s="51" t="s">
        <v>3</v>
      </c>
      <c r="B49" s="50">
        <v>0.16161616161616163</v>
      </c>
      <c r="C49" s="4"/>
      <c r="D49" s="4"/>
      <c r="E49" s="27"/>
    </row>
    <row r="50" spans="1:5" x14ac:dyDescent="0.3">
      <c r="A50" s="51" t="s">
        <v>2</v>
      </c>
      <c r="B50" s="50">
        <v>0.17089259946402804</v>
      </c>
      <c r="C50" s="4"/>
      <c r="D50" s="4"/>
      <c r="E50" s="27"/>
    </row>
    <row r="51" spans="1:5" x14ac:dyDescent="0.3">
      <c r="A51" s="52" t="s">
        <v>4</v>
      </c>
      <c r="B51" s="50">
        <v>6.905792620078334E-2</v>
      </c>
    </row>
    <row r="52" spans="1:5" x14ac:dyDescent="0.3">
      <c r="A52" s="53" t="s">
        <v>5</v>
      </c>
      <c r="B52" s="54">
        <v>3.6281179138321996E-2</v>
      </c>
      <c r="C52" s="27"/>
      <c r="D52" s="27"/>
    </row>
    <row r="53" spans="1:5" x14ac:dyDescent="0.3">
      <c r="A53" s="52" t="s">
        <v>6</v>
      </c>
      <c r="B53" s="50">
        <v>2.5974025974025976E-2</v>
      </c>
    </row>
    <row r="54" spans="1:5" x14ac:dyDescent="0.3">
      <c r="A54" s="55" t="s">
        <v>7</v>
      </c>
      <c r="B54" s="50">
        <v>1.3193156050298907E-2</v>
      </c>
      <c r="C54" s="4"/>
      <c r="D54" s="4"/>
    </row>
    <row r="55" spans="1:5" x14ac:dyDescent="0.3">
      <c r="A55" s="55" t="s">
        <v>59</v>
      </c>
      <c r="B55" s="50">
        <v>0.47701504844361992</v>
      </c>
    </row>
    <row r="56" spans="1:5" x14ac:dyDescent="0.3">
      <c r="A56" s="55"/>
      <c r="B56" s="50"/>
    </row>
    <row r="57" spans="1:5" x14ac:dyDescent="0.3">
      <c r="A57" s="56" t="s">
        <v>112</v>
      </c>
      <c r="B57" s="50"/>
    </row>
    <row r="58" spans="1:5" x14ac:dyDescent="0.3">
      <c r="A58" s="52" t="s">
        <v>10</v>
      </c>
      <c r="B58" s="50">
        <v>0.26881055452484026</v>
      </c>
    </row>
    <row r="59" spans="1:5" x14ac:dyDescent="0.3">
      <c r="A59" s="52" t="s">
        <v>11</v>
      </c>
      <c r="B59" s="50">
        <v>0.17584003298289014</v>
      </c>
    </row>
    <row r="60" spans="1:5" x14ac:dyDescent="0.3">
      <c r="A60" s="52" t="s">
        <v>12</v>
      </c>
      <c r="B60" s="50">
        <v>5.6483199340342197E-2</v>
      </c>
    </row>
    <row r="61" spans="1:5" x14ac:dyDescent="0.3">
      <c r="A61" s="57" t="s">
        <v>13</v>
      </c>
      <c r="B61" s="58">
        <v>2.1851164708307565E-2</v>
      </c>
    </row>
  </sheetData>
  <mergeCells count="1">
    <mergeCell ref="I29:J29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5" workbookViewId="0">
      <selection activeCell="I24" sqref="I24"/>
    </sheetView>
  </sheetViews>
  <sheetFormatPr defaultRowHeight="14.4" x14ac:dyDescent="0.3"/>
  <cols>
    <col min="1" max="1" width="22.5546875" bestFit="1" customWidth="1"/>
    <col min="3" max="3" width="18.44140625" bestFit="1" customWidth="1"/>
    <col min="4" max="4" width="20.44140625" customWidth="1"/>
    <col min="5" max="5" width="9.5546875" bestFit="1" customWidth="1"/>
    <col min="6" max="6" width="20.88671875" bestFit="1" customWidth="1"/>
    <col min="7" max="7" width="15.5546875" customWidth="1"/>
    <col min="8" max="8" width="7.6640625" customWidth="1"/>
    <col min="10" max="10" width="14" customWidth="1"/>
  </cols>
  <sheetData>
    <row r="1" spans="1:8" x14ac:dyDescent="0.3">
      <c r="A1" s="1" t="s">
        <v>97</v>
      </c>
      <c r="B1" s="68"/>
      <c r="C1" s="1" t="s">
        <v>101</v>
      </c>
      <c r="D1" s="1" t="s">
        <v>100</v>
      </c>
      <c r="E1" s="1"/>
      <c r="F1" s="3" t="s">
        <v>114</v>
      </c>
      <c r="G1" s="3" t="s">
        <v>115</v>
      </c>
      <c r="H1" s="2"/>
    </row>
    <row r="2" spans="1:8" x14ac:dyDescent="0.3">
      <c r="A2" s="88" t="s">
        <v>98</v>
      </c>
      <c r="B2" s="89">
        <v>335</v>
      </c>
      <c r="C2" s="90">
        <v>0.132525334482788</v>
      </c>
      <c r="D2" s="88" t="s">
        <v>98</v>
      </c>
      <c r="E2" s="91">
        <v>1118.5999999999999</v>
      </c>
      <c r="F2" s="74">
        <f>E8+E7+E5-E3</f>
        <v>4180.1376236871693</v>
      </c>
      <c r="G2" s="25">
        <f>F2/G9</f>
        <v>570.45092665935579</v>
      </c>
    </row>
    <row r="3" spans="1:8" x14ac:dyDescent="0.3">
      <c r="A3" s="100" t="s">
        <v>3</v>
      </c>
      <c r="B3" s="129">
        <f>C3*$B$15</f>
        <v>956.096969696972</v>
      </c>
      <c r="C3" s="100">
        <v>0.16161616161616199</v>
      </c>
      <c r="D3" s="100" t="s">
        <v>3</v>
      </c>
      <c r="E3" s="101">
        <f>C3*$E$15</f>
        <v>1724.982384955872</v>
      </c>
      <c r="F3" s="74"/>
      <c r="G3" s="25"/>
      <c r="H3" s="2"/>
    </row>
    <row r="4" spans="1:8" x14ac:dyDescent="0.3">
      <c r="A4" s="88" t="s">
        <v>99</v>
      </c>
      <c r="B4" s="92">
        <f>B5-B2-B3</f>
        <v>1022.903030303028</v>
      </c>
      <c r="C4" s="90">
        <v>0.20199971263639208</v>
      </c>
      <c r="D4" s="88" t="s">
        <v>99</v>
      </c>
      <c r="E4" s="91">
        <v>3056.3</v>
      </c>
      <c r="F4" s="73"/>
    </row>
    <row r="5" spans="1:8" x14ac:dyDescent="0.3">
      <c r="A5" s="93" t="s">
        <v>95</v>
      </c>
      <c r="B5" s="94">
        <v>2314</v>
      </c>
      <c r="C5" s="95">
        <v>0.39115258162394245</v>
      </c>
      <c r="D5" s="93" t="s">
        <v>95</v>
      </c>
      <c r="E5" s="130">
        <f>E2+E4</f>
        <v>4174.8999999999996</v>
      </c>
      <c r="F5" s="74" t="s">
        <v>103</v>
      </c>
      <c r="G5" s="3" t="s">
        <v>104</v>
      </c>
    </row>
    <row r="6" spans="1:8" x14ac:dyDescent="0.3">
      <c r="E6" s="105"/>
      <c r="F6" s="74">
        <f>E9+E10+E3</f>
        <v>4571.9971645582918</v>
      </c>
      <c r="G6" s="25">
        <f>F6/G9</f>
        <v>623.92683064480082</v>
      </c>
      <c r="H6" s="85"/>
    </row>
    <row r="7" spans="1:8" x14ac:dyDescent="0.3">
      <c r="A7" s="79" t="s">
        <v>11</v>
      </c>
      <c r="B7" s="81">
        <f>C7*$B$15</f>
        <v>853</v>
      </c>
      <c r="C7" s="80">
        <v>0.14418891621660454</v>
      </c>
      <c r="D7" s="79" t="s">
        <v>11</v>
      </c>
      <c r="E7" s="87">
        <f>C7*$E$15</f>
        <v>1538.9756698357821</v>
      </c>
      <c r="F7" s="74"/>
      <c r="G7" s="25"/>
      <c r="H7" s="25"/>
    </row>
    <row r="8" spans="1:8" x14ac:dyDescent="0.3">
      <c r="A8" s="79" t="s">
        <v>13</v>
      </c>
      <c r="B8" s="81">
        <f>C8*$B$15</f>
        <v>106</v>
      </c>
      <c r="C8" s="80">
        <v>1.7917966141805488E-2</v>
      </c>
      <c r="D8" s="79" t="s">
        <v>13</v>
      </c>
      <c r="E8" s="87">
        <f>C8*$E$15</f>
        <v>191.24433880726014</v>
      </c>
      <c r="G8" t="s">
        <v>105</v>
      </c>
      <c r="H8" s="25"/>
    </row>
    <row r="9" spans="1:8" x14ac:dyDescent="0.3">
      <c r="A9" s="76" t="s">
        <v>10</v>
      </c>
      <c r="B9" s="81">
        <f>C9*$B$15</f>
        <v>1304</v>
      </c>
      <c r="C9" s="80">
        <v>0.22042479102749393</v>
      </c>
      <c r="D9" s="76" t="s">
        <v>10</v>
      </c>
      <c r="E9" s="87">
        <f>C9*$E$15</f>
        <v>2352.6662057044077</v>
      </c>
      <c r="F9" s="74"/>
      <c r="G9" s="25">
        <v>7.3277777777777802</v>
      </c>
    </row>
    <row r="10" spans="1:8" x14ac:dyDescent="0.3">
      <c r="A10" s="80" t="s">
        <v>12</v>
      </c>
      <c r="B10" s="81">
        <f>C10*$B$15</f>
        <v>274</v>
      </c>
      <c r="C10" s="80">
        <v>4.6316252102402866E-2</v>
      </c>
      <c r="D10" s="80" t="s">
        <v>12</v>
      </c>
      <c r="E10" s="87">
        <f>C10*$E$15</f>
        <v>494.34857389801203</v>
      </c>
      <c r="H10" s="25"/>
    </row>
    <row r="11" spans="1:8" x14ac:dyDescent="0.3">
      <c r="A11" s="96" t="s">
        <v>94</v>
      </c>
      <c r="B11" s="96">
        <v>2537</v>
      </c>
      <c r="C11" s="97">
        <v>0.4288479254883068</v>
      </c>
      <c r="D11" s="98" t="s">
        <v>94</v>
      </c>
      <c r="E11" s="99">
        <f>C11*E15</f>
        <v>4577.2347882454615</v>
      </c>
    </row>
    <row r="12" spans="1:8" x14ac:dyDescent="0.3">
      <c r="A12" s="126"/>
      <c r="B12" s="126"/>
      <c r="C12" s="82"/>
      <c r="D12" s="127"/>
      <c r="E12" s="128"/>
    </row>
    <row r="13" spans="1:8" x14ac:dyDescent="0.3">
      <c r="A13" s="131" t="s">
        <v>32</v>
      </c>
      <c r="B13" s="132">
        <v>1064.8500000000004</v>
      </c>
      <c r="C13" s="133">
        <f>1-C5-C11</f>
        <v>0.17999949288775069</v>
      </c>
      <c r="D13" s="134"/>
      <c r="E13" s="135">
        <f>C13*E15</f>
        <v>1921.1937186689711</v>
      </c>
    </row>
    <row r="14" spans="1:8" x14ac:dyDescent="0.3">
      <c r="A14" s="126"/>
      <c r="B14" s="126"/>
      <c r="C14" s="82"/>
      <c r="D14" s="127"/>
      <c r="E14" s="128"/>
    </row>
    <row r="15" spans="1:8" x14ac:dyDescent="0.3">
      <c r="A15" s="77" t="s">
        <v>96</v>
      </c>
      <c r="B15" s="78">
        <f>B5+B11+B13</f>
        <v>5915.85</v>
      </c>
      <c r="C15" s="72">
        <f>B15/$B$15</f>
        <v>1</v>
      </c>
      <c r="D15" s="31" t="s">
        <v>116</v>
      </c>
      <c r="E15" s="75">
        <f>E5/C5</f>
        <v>10673.328506914433</v>
      </c>
    </row>
    <row r="16" spans="1:8" x14ac:dyDescent="0.3">
      <c r="D16" s="31" t="s">
        <v>117</v>
      </c>
      <c r="E16">
        <f>E15/G9</f>
        <v>1456.5573398366923</v>
      </c>
    </row>
    <row r="17" spans="4:10" x14ac:dyDescent="0.3">
      <c r="D17" t="s">
        <v>118</v>
      </c>
      <c r="E17" s="3">
        <v>250</v>
      </c>
    </row>
    <row r="18" spans="4:10" x14ac:dyDescent="0.3">
      <c r="D18" t="s">
        <v>119</v>
      </c>
      <c r="E18">
        <f>E16/E17</f>
        <v>5.8262293593467698</v>
      </c>
      <c r="G18">
        <v>1</v>
      </c>
      <c r="I18" t="s">
        <v>144</v>
      </c>
      <c r="J18" s="4">
        <f>G18/6</f>
        <v>0.16666666666666666</v>
      </c>
    </row>
    <row r="19" spans="4:10" x14ac:dyDescent="0.3">
      <c r="D19" t="s">
        <v>120</v>
      </c>
      <c r="E19">
        <v>6</v>
      </c>
      <c r="G19">
        <v>2</v>
      </c>
      <c r="I19" t="s">
        <v>142</v>
      </c>
      <c r="J19" s="4">
        <f>J18</f>
        <v>0.16666666666666666</v>
      </c>
    </row>
    <row r="20" spans="4:10" x14ac:dyDescent="0.3">
      <c r="G20">
        <v>3</v>
      </c>
      <c r="I20" t="s">
        <v>140</v>
      </c>
      <c r="J20" s="4">
        <f t="shared" ref="J20:J23" si="0">J19</f>
        <v>0.16666666666666666</v>
      </c>
    </row>
    <row r="21" spans="4:10" x14ac:dyDescent="0.3">
      <c r="G21">
        <v>4</v>
      </c>
      <c r="I21" t="s">
        <v>141</v>
      </c>
      <c r="J21" s="4">
        <f t="shared" si="0"/>
        <v>0.16666666666666666</v>
      </c>
    </row>
    <row r="22" spans="4:10" x14ac:dyDescent="0.3">
      <c r="G22">
        <v>5</v>
      </c>
      <c r="I22" t="s">
        <v>143</v>
      </c>
      <c r="J22" s="4">
        <f t="shared" si="0"/>
        <v>0.16666666666666666</v>
      </c>
    </row>
    <row r="23" spans="4:10" x14ac:dyDescent="0.3">
      <c r="G23">
        <v>6</v>
      </c>
      <c r="I23" t="s">
        <v>27</v>
      </c>
      <c r="J23" s="4">
        <f t="shared" si="0"/>
        <v>0.16666666666666666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18.109375" customWidth="1"/>
    <col min="2" max="2" width="11.6640625" customWidth="1"/>
    <col min="3" max="3" width="9.6640625" bestFit="1" customWidth="1"/>
  </cols>
  <sheetData>
    <row r="1" spans="1:4" x14ac:dyDescent="0.3">
      <c r="B1" t="s">
        <v>44</v>
      </c>
      <c r="C1" t="s">
        <v>45</v>
      </c>
      <c r="D1" t="s">
        <v>48</v>
      </c>
    </row>
    <row r="2" spans="1:4" x14ac:dyDescent="0.3">
      <c r="A2" t="s">
        <v>46</v>
      </c>
      <c r="B2">
        <v>1118.5999999999999</v>
      </c>
      <c r="C2">
        <v>1919.4</v>
      </c>
      <c r="D2" s="4">
        <f>B2/C2</f>
        <v>0.58278628738147331</v>
      </c>
    </row>
    <row r="3" spans="1:4" x14ac:dyDescent="0.3">
      <c r="A3" t="s">
        <v>47</v>
      </c>
      <c r="B3">
        <v>3056.3</v>
      </c>
      <c r="C3">
        <v>6883.7</v>
      </c>
      <c r="D3" s="4">
        <f>B3/C3</f>
        <v>0.44399087699928819</v>
      </c>
    </row>
    <row r="4" spans="1:4" x14ac:dyDescent="0.3">
      <c r="A4" t="s">
        <v>49</v>
      </c>
      <c r="B4">
        <f>SUM(B2:B3)</f>
        <v>4174.8999999999996</v>
      </c>
      <c r="C4">
        <f>SUM(C2:C3)</f>
        <v>8803.1</v>
      </c>
      <c r="D4" s="4">
        <f>B4/C4</f>
        <v>0.4742533880110415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Growth forecast</vt:lpstr>
      <vt:lpstr>Brand share</vt:lpstr>
      <vt:lpstr>Company share</vt:lpstr>
      <vt:lpstr>Value</vt:lpstr>
      <vt:lpstr>Exhibit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2012-02-23T19:35:29Z</dcterms:modified>
</cp:coreProperties>
</file>