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8" windowWidth="12504" windowHeight="8016" activeTab="2"/>
  </bookViews>
  <sheets>
    <sheet name="NS Calculations" sheetId="1" r:id="rId1"/>
    <sheet name="Fairly Priced Bonds" sheetId="2" r:id="rId2"/>
    <sheet name="Feuil1" sheetId="3" r:id="rId3"/>
  </sheets>
  <definedNames>
    <definedName name="solver_adj" localSheetId="1" hidden="1">'Fairly Priced Bonds'!$A$13:$D$13</definedName>
    <definedName name="solver_adj" localSheetId="0" hidden="1">'NS Calculations'!$A$28:$D$28</definedName>
    <definedName name="solver_cvg" localSheetId="1" hidden="1">0.0001</definedName>
    <definedName name="solver_cvg" localSheetId="0" hidden="1">0.0001</definedName>
    <definedName name="solver_drv" localSheetId="1" hidden="1">1</definedName>
    <definedName name="solver_drv" localSheetId="0" hidden="1">1</definedName>
    <definedName name="solver_eng" localSheetId="1" hidden="1">1</definedName>
    <definedName name="solver_eng" localSheetId="0" hidden="1">1</definedName>
    <definedName name="solver_est" localSheetId="1" hidden="1">1</definedName>
    <definedName name="solver_est" localSheetId="0" hidden="1">1</definedName>
    <definedName name="solver_itr" localSheetId="1" hidden="1">2147483647</definedName>
    <definedName name="solver_itr" localSheetId="0" hidden="1">2147483647</definedName>
    <definedName name="solver_lhs1" localSheetId="0" hidden="1">'NS Calculations'!$A$28</definedName>
    <definedName name="solver_lhs2" localSheetId="0" hidden="1">'NS Calculations'!$B$28</definedName>
    <definedName name="solver_mip" localSheetId="1" hidden="1">2147483647</definedName>
    <definedName name="solver_mip" localSheetId="0" hidden="1">2147483647</definedName>
    <definedName name="solver_mni" localSheetId="1" hidden="1">30</definedName>
    <definedName name="solver_mni" localSheetId="0" hidden="1">30</definedName>
    <definedName name="solver_mrt" localSheetId="1" hidden="1">0.075</definedName>
    <definedName name="solver_mrt" localSheetId="0" hidden="1">0.075</definedName>
    <definedName name="solver_msl" localSheetId="1" hidden="1">2</definedName>
    <definedName name="solver_msl" localSheetId="0" hidden="1">2</definedName>
    <definedName name="solver_neg" localSheetId="1" hidden="1">2</definedName>
    <definedName name="solver_neg" localSheetId="0" hidden="1">2</definedName>
    <definedName name="solver_nod" localSheetId="1" hidden="1">2147483647</definedName>
    <definedName name="solver_nod" localSheetId="0" hidden="1">2147483647</definedName>
    <definedName name="solver_num" localSheetId="1" hidden="1">0</definedName>
    <definedName name="solver_num" localSheetId="0" hidden="1">0</definedName>
    <definedName name="solver_nwt" localSheetId="1" hidden="1">1</definedName>
    <definedName name="solver_nwt" localSheetId="0" hidden="1">1</definedName>
    <definedName name="solver_opt" localSheetId="1" hidden="1">'Fairly Priced Bonds'!$D$28</definedName>
    <definedName name="solver_opt" localSheetId="0" hidden="1">'NS Calculations'!$D$61</definedName>
    <definedName name="solver_pre" localSheetId="1" hidden="1">0.000001</definedName>
    <definedName name="solver_pre" localSheetId="0" hidden="1">0.000001</definedName>
    <definedName name="solver_rbv" localSheetId="1" hidden="1">1</definedName>
    <definedName name="solver_rbv" localSheetId="0" hidden="1">1</definedName>
    <definedName name="solver_rel1" localSheetId="0" hidden="1">3</definedName>
    <definedName name="solver_rel2" localSheetId="0" hidden="1">3</definedName>
    <definedName name="solver_rhs1" localSheetId="0" hidden="1">0</definedName>
    <definedName name="solver_rhs2" localSheetId="0" hidden="1">0</definedName>
    <definedName name="solver_rlx" localSheetId="1" hidden="1">2</definedName>
    <definedName name="solver_rlx" localSheetId="0" hidden="1">2</definedName>
    <definedName name="solver_rsd" localSheetId="1" hidden="1">0</definedName>
    <definedName name="solver_rsd" localSheetId="0" hidden="1">0</definedName>
    <definedName name="solver_scl" localSheetId="1" hidden="1">1</definedName>
    <definedName name="solver_scl" localSheetId="0" hidden="1">1</definedName>
    <definedName name="solver_sho" localSheetId="1" hidden="1">2</definedName>
    <definedName name="solver_sho" localSheetId="0" hidden="1">2</definedName>
    <definedName name="solver_ssz" localSheetId="1" hidden="1">100</definedName>
    <definedName name="solver_ssz" localSheetId="0" hidden="1">100</definedName>
    <definedName name="solver_tim" localSheetId="1" hidden="1">2147483647</definedName>
    <definedName name="solver_tim" localSheetId="0" hidden="1">2147483647</definedName>
    <definedName name="solver_tol" localSheetId="1" hidden="1">0.01</definedName>
    <definedName name="solver_tol" localSheetId="0" hidden="1">0.01</definedName>
    <definedName name="solver_typ" localSheetId="1" hidden="1">1</definedName>
    <definedName name="solver_typ" localSheetId="0" hidden="1">2</definedName>
    <definedName name="solver_val" localSheetId="1" hidden="1">0</definedName>
    <definedName name="solver_val" localSheetId="0" hidden="1">0</definedName>
    <definedName name="solver_ver" localSheetId="1" hidden="1">3</definedName>
    <definedName name="solver_ver" localSheetId="0" hidden="1">3</definedName>
  </definedNames>
  <calcPr calcId="144525"/>
</workbook>
</file>

<file path=xl/calcChain.xml><?xml version="1.0" encoding="utf-8"?>
<calcChain xmlns="http://schemas.openxmlformats.org/spreadsheetml/2006/main">
  <c r="K20" i="1" l="1"/>
  <c r="L20" i="1" s="1"/>
  <c r="M20" i="1" s="1"/>
  <c r="N20" i="1" s="1"/>
  <c r="O20" i="1" s="1"/>
  <c r="P20" i="1" s="1"/>
  <c r="Q20" i="1" s="1"/>
  <c r="R20" i="1" s="1"/>
  <c r="S20" i="1" s="1"/>
  <c r="T20" i="1" s="1"/>
  <c r="U20" i="1" s="1"/>
  <c r="V20" i="1" s="1"/>
  <c r="W20" i="1" s="1"/>
  <c r="X20" i="1" s="1"/>
  <c r="Y20" i="1" s="1"/>
  <c r="Z20" i="1" s="1"/>
  <c r="AA20" i="1" s="1"/>
  <c r="AB20" i="1" s="1"/>
  <c r="AC20" i="1" s="1"/>
  <c r="AD20" i="1" s="1"/>
  <c r="AE20" i="1" s="1"/>
  <c r="AF20" i="1" s="1"/>
  <c r="AG20" i="1" s="1"/>
  <c r="AH20" i="1" s="1"/>
  <c r="AI20" i="1" s="1"/>
  <c r="AJ20" i="1" s="1"/>
  <c r="AK20" i="1" s="1"/>
  <c r="J20" i="1"/>
  <c r="J19" i="1"/>
  <c r="K19" i="1" s="1"/>
  <c r="L19" i="1" s="1"/>
  <c r="M19" i="1" s="1"/>
  <c r="N19" i="1" s="1"/>
  <c r="O19" i="1" s="1"/>
  <c r="P19" i="1" s="1"/>
  <c r="Q19" i="1" s="1"/>
  <c r="R19" i="1" s="1"/>
  <c r="S19" i="1" s="1"/>
  <c r="T19" i="1" s="1"/>
  <c r="J18" i="1"/>
  <c r="K18" i="1" s="1"/>
  <c r="L18" i="1" s="1"/>
  <c r="M18" i="1" s="1"/>
  <c r="J5" i="1"/>
  <c r="G18" i="1"/>
  <c r="F19" i="1"/>
  <c r="G19" i="1" s="1"/>
  <c r="F20" i="1"/>
  <c r="G20" i="1" s="1"/>
  <c r="F18" i="1"/>
  <c r="F5" i="1"/>
  <c r="I4" i="2" l="1"/>
  <c r="B17" i="2" s="1"/>
  <c r="I5" i="2"/>
  <c r="J5" i="2" s="1"/>
  <c r="K5" i="2" s="1"/>
  <c r="I6" i="2"/>
  <c r="B19" i="2" s="1"/>
  <c r="I7" i="2"/>
  <c r="B20" i="2" s="1"/>
  <c r="F7" i="2"/>
  <c r="G7" i="2" s="1"/>
  <c r="F6" i="2"/>
  <c r="G6" i="2" s="1"/>
  <c r="F5" i="2"/>
  <c r="G5" i="2" s="1"/>
  <c r="F4" i="2"/>
  <c r="G4" i="2" s="1"/>
  <c r="J6" i="1"/>
  <c r="B33" i="1"/>
  <c r="F6" i="1"/>
  <c r="G6" i="1"/>
  <c r="A51" i="1" s="1"/>
  <c r="J7" i="1"/>
  <c r="F7" i="1"/>
  <c r="G7" i="1" s="1"/>
  <c r="A52" i="1" s="1"/>
  <c r="J8" i="1"/>
  <c r="K8" i="1"/>
  <c r="L8" i="1"/>
  <c r="M8" i="1"/>
  <c r="D35" i="1"/>
  <c r="C35" i="1"/>
  <c r="B35" i="1"/>
  <c r="F8" i="1"/>
  <c r="G8" i="1" s="1"/>
  <c r="A53" i="1" s="1"/>
  <c r="J9" i="1"/>
  <c r="K9" i="1" s="1"/>
  <c r="B36" i="1"/>
  <c r="F9" i="1"/>
  <c r="G9" i="1"/>
  <c r="A54" i="1"/>
  <c r="J10" i="1"/>
  <c r="K10" i="1"/>
  <c r="B37" i="1"/>
  <c r="F10" i="1"/>
  <c r="G10" i="1"/>
  <c r="A55" i="1" s="1"/>
  <c r="J11" i="1"/>
  <c r="F11" i="1"/>
  <c r="G11" i="1" s="1"/>
  <c r="A56" i="1" s="1"/>
  <c r="J12" i="1"/>
  <c r="K12" i="1"/>
  <c r="L12" i="1"/>
  <c r="C39" i="1"/>
  <c r="B39" i="1"/>
  <c r="F12" i="1"/>
  <c r="G12" i="1" s="1"/>
  <c r="A57" i="1" s="1"/>
  <c r="J13" i="1"/>
  <c r="K13" i="1" s="1"/>
  <c r="B40" i="1"/>
  <c r="F13" i="1"/>
  <c r="G13" i="1"/>
  <c r="A58" i="1"/>
  <c r="J14" i="1"/>
  <c r="K14" i="1"/>
  <c r="L14" i="1"/>
  <c r="C41" i="1"/>
  <c r="B41" i="1"/>
  <c r="F14" i="1"/>
  <c r="G14" i="1" s="1"/>
  <c r="A59" i="1" s="1"/>
  <c r="B32" i="1"/>
  <c r="J62" i="1" s="1"/>
  <c r="G5" i="1"/>
  <c r="A50" i="1" s="1"/>
  <c r="G50" i="1"/>
  <c r="G51" i="1" s="1"/>
  <c r="G52" i="1" s="1"/>
  <c r="G53" i="1"/>
  <c r="I51" i="1"/>
  <c r="I52" i="1"/>
  <c r="I53" i="1"/>
  <c r="I54" i="1"/>
  <c r="I55" i="1"/>
  <c r="I56" i="1"/>
  <c r="I57" i="1"/>
  <c r="I58" i="1"/>
  <c r="I59" i="1"/>
  <c r="I50" i="1"/>
  <c r="H51" i="1"/>
  <c r="H52" i="1"/>
  <c r="H53" i="1"/>
  <c r="H54" i="1"/>
  <c r="H55" i="1"/>
  <c r="H56" i="1"/>
  <c r="H57" i="1"/>
  <c r="H58" i="1"/>
  <c r="H59" i="1"/>
  <c r="H50" i="1"/>
  <c r="J51" i="1"/>
  <c r="J52" i="1" l="1"/>
  <c r="M14" i="1"/>
  <c r="D41" i="1"/>
  <c r="L71" i="1" s="1"/>
  <c r="K66" i="1"/>
  <c r="C36" i="1"/>
  <c r="L9" i="1"/>
  <c r="J68" i="1"/>
  <c r="K11" i="1"/>
  <c r="B38" i="1"/>
  <c r="L10" i="1"/>
  <c r="C37" i="1"/>
  <c r="K67" i="1" s="1"/>
  <c r="G54" i="1"/>
  <c r="J53" i="1"/>
  <c r="K70" i="1"/>
  <c r="L13" i="1"/>
  <c r="C40" i="1"/>
  <c r="M12" i="1"/>
  <c r="D39" i="1"/>
  <c r="L69" i="1" s="1"/>
  <c r="J63" i="1"/>
  <c r="J50" i="1"/>
  <c r="K71" i="1"/>
  <c r="K69" i="1"/>
  <c r="J67" i="1"/>
  <c r="E35" i="1"/>
  <c r="M65" i="1" s="1"/>
  <c r="L65" i="1"/>
  <c r="A32" i="1"/>
  <c r="B50" i="1" s="1"/>
  <c r="C50" i="1" s="1"/>
  <c r="D50" i="1" s="1"/>
  <c r="J71" i="1"/>
  <c r="J69" i="1"/>
  <c r="J66" i="1"/>
  <c r="K65" i="1"/>
  <c r="I62" i="1"/>
  <c r="H62" i="1" s="1"/>
  <c r="J70" i="1"/>
  <c r="N8" i="1"/>
  <c r="J65" i="1"/>
  <c r="B34" i="1"/>
  <c r="J64" i="1" s="1"/>
  <c r="K7" i="1"/>
  <c r="K6" i="1"/>
  <c r="B18" i="2"/>
  <c r="J7" i="2"/>
  <c r="K7" i="2" s="1"/>
  <c r="D20" i="2" s="1"/>
  <c r="J4" i="2"/>
  <c r="K4" i="2" s="1"/>
  <c r="D17" i="2" s="1"/>
  <c r="J6" i="2"/>
  <c r="C19" i="2" s="1"/>
  <c r="L5" i="2"/>
  <c r="D18" i="2"/>
  <c r="L4" i="2"/>
  <c r="K6" i="2"/>
  <c r="C18" i="2"/>
  <c r="C20" i="2"/>
  <c r="N12" i="1" l="1"/>
  <c r="E39" i="1"/>
  <c r="M69" i="1" s="1"/>
  <c r="M10" i="1"/>
  <c r="D37" i="1"/>
  <c r="L67" i="1" s="1"/>
  <c r="K63" i="1"/>
  <c r="L6" i="1"/>
  <c r="C33" i="1"/>
  <c r="N65" i="1"/>
  <c r="O8" i="1"/>
  <c r="F35" i="1"/>
  <c r="L66" i="1"/>
  <c r="M9" i="1"/>
  <c r="D36" i="1"/>
  <c r="N14" i="1"/>
  <c r="E41" i="1"/>
  <c r="M71" i="1" s="1"/>
  <c r="K64" i="1"/>
  <c r="K72" i="1" s="1"/>
  <c r="L7" i="1"/>
  <c r="C34" i="1"/>
  <c r="G55" i="1"/>
  <c r="J54" i="1"/>
  <c r="J72" i="1"/>
  <c r="L70" i="1"/>
  <c r="D40" i="1"/>
  <c r="M13" i="1"/>
  <c r="K68" i="1"/>
  <c r="C38" i="1"/>
  <c r="L11" i="1"/>
  <c r="L7" i="2"/>
  <c r="E20" i="2" s="1"/>
  <c r="C17" i="2"/>
  <c r="M5" i="2"/>
  <c r="E18" i="2"/>
  <c r="M4" i="2"/>
  <c r="E17" i="2"/>
  <c r="L6" i="2"/>
  <c r="D19" i="2"/>
  <c r="M70" i="1" l="1"/>
  <c r="N13" i="1"/>
  <c r="E40" i="1"/>
  <c r="E37" i="1"/>
  <c r="M67" i="1" s="1"/>
  <c r="N10" i="1"/>
  <c r="F39" i="1"/>
  <c r="N69" i="1" s="1"/>
  <c r="O12" i="1"/>
  <c r="M11" i="1"/>
  <c r="D38" i="1"/>
  <c r="L68" i="1" s="1"/>
  <c r="D33" i="1"/>
  <c r="L63" i="1" s="1"/>
  <c r="I63" i="1" s="1"/>
  <c r="N71" i="1"/>
  <c r="F41" i="1"/>
  <c r="O14" i="1"/>
  <c r="G56" i="1"/>
  <c r="J55" i="1"/>
  <c r="M7" i="1"/>
  <c r="D34" i="1"/>
  <c r="L64" i="1" s="1"/>
  <c r="M66" i="1"/>
  <c r="N9" i="1"/>
  <c r="E36" i="1"/>
  <c r="G35" i="1"/>
  <c r="O65" i="1" s="1"/>
  <c r="P8" i="1"/>
  <c r="M7" i="2"/>
  <c r="F20" i="2" s="1"/>
  <c r="F17" i="2"/>
  <c r="N4" i="2"/>
  <c r="M6" i="2"/>
  <c r="E19" i="2"/>
  <c r="F18" i="2"/>
  <c r="N5" i="2"/>
  <c r="L72" i="1" l="1"/>
  <c r="M64" i="1"/>
  <c r="E34" i="1"/>
  <c r="N7" i="1"/>
  <c r="O71" i="1"/>
  <c r="P14" i="1"/>
  <c r="G41" i="1"/>
  <c r="A33" i="1"/>
  <c r="B51" i="1" s="1"/>
  <c r="C51" i="1" s="1"/>
  <c r="D51" i="1" s="1"/>
  <c r="N70" i="1"/>
  <c r="O13" i="1"/>
  <c r="F40" i="1"/>
  <c r="J56" i="1"/>
  <c r="G57" i="1"/>
  <c r="M68" i="1"/>
  <c r="N11" i="1"/>
  <c r="E38" i="1"/>
  <c r="H35" i="1"/>
  <c r="A35" i="1" s="1"/>
  <c r="B53" i="1" s="1"/>
  <c r="C53" i="1" s="1"/>
  <c r="D53" i="1" s="1"/>
  <c r="O9" i="1"/>
  <c r="F36" i="1"/>
  <c r="N66" i="1" s="1"/>
  <c r="P12" i="1"/>
  <c r="G39" i="1"/>
  <c r="O69" i="1" s="1"/>
  <c r="N67" i="1"/>
  <c r="F37" i="1"/>
  <c r="O10" i="1"/>
  <c r="N7" i="2"/>
  <c r="O7" i="2" s="1"/>
  <c r="O5" i="2"/>
  <c r="G18" i="2"/>
  <c r="N6" i="2"/>
  <c r="F19" i="2"/>
  <c r="O4" i="2"/>
  <c r="G17" i="2"/>
  <c r="M72" i="1" l="1"/>
  <c r="O66" i="1"/>
  <c r="G36" i="1"/>
  <c r="P9" i="1"/>
  <c r="P65" i="1"/>
  <c r="G58" i="1"/>
  <c r="J57" i="1"/>
  <c r="P10" i="1"/>
  <c r="G37" i="1"/>
  <c r="O67" i="1" s="1"/>
  <c r="Q12" i="1"/>
  <c r="H39" i="1"/>
  <c r="P69" i="1" s="1"/>
  <c r="F34" i="1"/>
  <c r="N64" i="1" s="1"/>
  <c r="I64" i="1" s="1"/>
  <c r="H64" i="1" s="1"/>
  <c r="A34" i="1"/>
  <c r="B52" i="1" s="1"/>
  <c r="C52" i="1" s="1"/>
  <c r="D52" i="1" s="1"/>
  <c r="P13" i="1"/>
  <c r="G40" i="1"/>
  <c r="O70" i="1" s="1"/>
  <c r="P71" i="1"/>
  <c r="Q14" i="1"/>
  <c r="H41" i="1"/>
  <c r="F38" i="1"/>
  <c r="N68" i="1" s="1"/>
  <c r="N72" i="1" s="1"/>
  <c r="O11" i="1"/>
  <c r="H63" i="1"/>
  <c r="G20" i="2"/>
  <c r="H17" i="2"/>
  <c r="A17" i="2" s="1"/>
  <c r="B23" i="2" s="1"/>
  <c r="C23" i="2" s="1"/>
  <c r="D23" i="2" s="1"/>
  <c r="P5" i="2"/>
  <c r="H18" i="2"/>
  <c r="H20" i="2"/>
  <c r="P7" i="2"/>
  <c r="G19" i="2"/>
  <c r="O6" i="2"/>
  <c r="R12" i="1" l="1"/>
  <c r="I39" i="1"/>
  <c r="Q69" i="1" s="1"/>
  <c r="I65" i="1"/>
  <c r="H65" i="1" s="1"/>
  <c r="H40" i="1"/>
  <c r="P70" i="1" s="1"/>
  <c r="Q13" i="1"/>
  <c r="Q9" i="1"/>
  <c r="H36" i="1"/>
  <c r="P66" i="1" s="1"/>
  <c r="Q10" i="1"/>
  <c r="H37" i="1"/>
  <c r="P67" i="1" s="1"/>
  <c r="G59" i="1"/>
  <c r="J59" i="1" s="1"/>
  <c r="J58" i="1"/>
  <c r="P11" i="1"/>
  <c r="G38" i="1"/>
  <c r="O68" i="1" s="1"/>
  <c r="O72" i="1" s="1"/>
  <c r="R14" i="1"/>
  <c r="I41" i="1"/>
  <c r="Q71" i="1" s="1"/>
  <c r="P6" i="2"/>
  <c r="H19" i="2"/>
  <c r="Q7" i="2"/>
  <c r="I20" i="2"/>
  <c r="Q5" i="2"/>
  <c r="I18" i="2"/>
  <c r="R9" i="1" l="1"/>
  <c r="I36" i="1"/>
  <c r="Q66" i="1" s="1"/>
  <c r="J39" i="1"/>
  <c r="R69" i="1" s="1"/>
  <c r="S12" i="1"/>
  <c r="J41" i="1"/>
  <c r="R71" i="1" s="1"/>
  <c r="S14" i="1"/>
  <c r="Q67" i="1"/>
  <c r="I37" i="1"/>
  <c r="R10" i="1"/>
  <c r="Q11" i="1"/>
  <c r="H38" i="1"/>
  <c r="P68" i="1" s="1"/>
  <c r="P72" i="1" s="1"/>
  <c r="R13" i="1"/>
  <c r="I40" i="1"/>
  <c r="Q70" i="1" s="1"/>
  <c r="J18" i="2"/>
  <c r="R5" i="2"/>
  <c r="Q6" i="2"/>
  <c r="I19" i="2"/>
  <c r="R7" i="2"/>
  <c r="J20" i="2"/>
  <c r="Q68" i="1" l="1"/>
  <c r="Q72" i="1" s="1"/>
  <c r="R11" i="1"/>
  <c r="I38" i="1"/>
  <c r="T12" i="1"/>
  <c r="K39" i="1"/>
  <c r="S69" i="1" s="1"/>
  <c r="J36" i="1"/>
  <c r="R66" i="1" s="1"/>
  <c r="A36" i="1"/>
  <c r="B54" i="1" s="1"/>
  <c r="C54" i="1" s="1"/>
  <c r="D54" i="1" s="1"/>
  <c r="R70" i="1"/>
  <c r="S13" i="1"/>
  <c r="J40" i="1"/>
  <c r="S71" i="1"/>
  <c r="T14" i="1"/>
  <c r="K41" i="1"/>
  <c r="J37" i="1"/>
  <c r="R67" i="1" s="1"/>
  <c r="S10" i="1"/>
  <c r="K18" i="2"/>
  <c r="A18" i="2" s="1"/>
  <c r="B24" i="2" s="1"/>
  <c r="C24" i="2" s="1"/>
  <c r="D24" i="2" s="1"/>
  <c r="S7" i="2"/>
  <c r="K20" i="2"/>
  <c r="R6" i="2"/>
  <c r="J19" i="2"/>
  <c r="I66" i="1" l="1"/>
  <c r="H66" i="1" s="1"/>
  <c r="U12" i="1"/>
  <c r="L39" i="1"/>
  <c r="T69" i="1" s="1"/>
  <c r="T13" i="1"/>
  <c r="K40" i="1"/>
  <c r="S70" i="1" s="1"/>
  <c r="S67" i="1"/>
  <c r="T10" i="1"/>
  <c r="K37" i="1"/>
  <c r="U14" i="1"/>
  <c r="L41" i="1"/>
  <c r="T71" i="1" s="1"/>
  <c r="J38" i="1"/>
  <c r="R68" i="1" s="1"/>
  <c r="R72" i="1" s="1"/>
  <c r="S11" i="1"/>
  <c r="K19" i="2"/>
  <c r="S6" i="2"/>
  <c r="L20" i="2"/>
  <c r="T7" i="2"/>
  <c r="V12" i="1" l="1"/>
  <c r="M39" i="1"/>
  <c r="U69" i="1" s="1"/>
  <c r="T70" i="1"/>
  <c r="L40" i="1"/>
  <c r="U13" i="1"/>
  <c r="T11" i="1"/>
  <c r="K38" i="1"/>
  <c r="S68" i="1" s="1"/>
  <c r="S72" i="1" s="1"/>
  <c r="V14" i="1"/>
  <c r="M41" i="1"/>
  <c r="U71" i="1" s="1"/>
  <c r="T67" i="1"/>
  <c r="I67" i="1" s="1"/>
  <c r="L37" i="1"/>
  <c r="A37" i="1" s="1"/>
  <c r="B55" i="1" s="1"/>
  <c r="C55" i="1" s="1"/>
  <c r="D55" i="1" s="1"/>
  <c r="T6" i="2"/>
  <c r="L19" i="2"/>
  <c r="U7" i="2"/>
  <c r="M20" i="2"/>
  <c r="N41" i="1" l="1"/>
  <c r="V71" i="1" s="1"/>
  <c r="W14" i="1"/>
  <c r="T68" i="1"/>
  <c r="T72" i="1" s="1"/>
  <c r="U11" i="1"/>
  <c r="L38" i="1"/>
  <c r="V13" i="1"/>
  <c r="M40" i="1"/>
  <c r="U70" i="1" s="1"/>
  <c r="V69" i="1"/>
  <c r="N39" i="1"/>
  <c r="W12" i="1"/>
  <c r="H67" i="1"/>
  <c r="U6" i="2"/>
  <c r="M19" i="2"/>
  <c r="V7" i="2"/>
  <c r="N20" i="2"/>
  <c r="W69" i="1" l="1"/>
  <c r="O39" i="1"/>
  <c r="X12" i="1"/>
  <c r="W71" i="1"/>
  <c r="X14" i="1"/>
  <c r="O41" i="1"/>
  <c r="W13" i="1"/>
  <c r="N40" i="1"/>
  <c r="V70" i="1" s="1"/>
  <c r="V72" i="1" s="1"/>
  <c r="M38" i="1"/>
  <c r="U68" i="1" s="1"/>
  <c r="A38" i="1"/>
  <c r="B56" i="1" s="1"/>
  <c r="C56" i="1" s="1"/>
  <c r="D56" i="1" s="1"/>
  <c r="V6" i="2"/>
  <c r="N19" i="2"/>
  <c r="W7" i="2"/>
  <c r="O20" i="2"/>
  <c r="U72" i="1" l="1"/>
  <c r="I68" i="1"/>
  <c r="H68" i="1" s="1"/>
  <c r="Y12" i="1"/>
  <c r="P39" i="1"/>
  <c r="X69" i="1" s="1"/>
  <c r="X13" i="1"/>
  <c r="O40" i="1"/>
  <c r="W70" i="1" s="1"/>
  <c r="W72" i="1" s="1"/>
  <c r="Y14" i="1"/>
  <c r="P41" i="1"/>
  <c r="X71" i="1" s="1"/>
  <c r="O19" i="2"/>
  <c r="W6" i="2"/>
  <c r="P20" i="2"/>
  <c r="X7" i="2"/>
  <c r="Z12" i="1" l="1"/>
  <c r="Q39" i="1"/>
  <c r="Y69" i="1" s="1"/>
  <c r="Y71" i="1"/>
  <c r="Z14" i="1"/>
  <c r="Q41" i="1"/>
  <c r="P40" i="1"/>
  <c r="X70" i="1" s="1"/>
  <c r="X72" i="1" s="1"/>
  <c r="Y13" i="1"/>
  <c r="Y7" i="2"/>
  <c r="Q20" i="2"/>
  <c r="P19" i="2"/>
  <c r="A19" i="2" s="1"/>
  <c r="B25" i="2" s="1"/>
  <c r="C25" i="2" s="1"/>
  <c r="D25" i="2" s="1"/>
  <c r="R39" i="1" l="1"/>
  <c r="Z69" i="1" s="1"/>
  <c r="AA12" i="1"/>
  <c r="Z13" i="1"/>
  <c r="Q40" i="1"/>
  <c r="Y70" i="1" s="1"/>
  <c r="Y72" i="1" s="1"/>
  <c r="R41" i="1"/>
  <c r="Z71" i="1" s="1"/>
  <c r="AA14" i="1"/>
  <c r="Z7" i="2"/>
  <c r="R20" i="2"/>
  <c r="I69" i="1" l="1"/>
  <c r="S41" i="1"/>
  <c r="AA71" i="1" s="1"/>
  <c r="AB14" i="1"/>
  <c r="AA13" i="1"/>
  <c r="R40" i="1"/>
  <c r="Z70" i="1" s="1"/>
  <c r="Z72" i="1" s="1"/>
  <c r="S39" i="1"/>
  <c r="A39" i="1" s="1"/>
  <c r="B57" i="1" s="1"/>
  <c r="C57" i="1" s="1"/>
  <c r="D57" i="1" s="1"/>
  <c r="AA7" i="2"/>
  <c r="S20" i="2"/>
  <c r="AB71" i="1" l="1"/>
  <c r="AC14" i="1"/>
  <c r="T41" i="1"/>
  <c r="AB13" i="1"/>
  <c r="S40" i="1"/>
  <c r="AA70" i="1" s="1"/>
  <c r="AA72" i="1" s="1"/>
  <c r="H69" i="1"/>
  <c r="T20" i="2"/>
  <c r="AB7" i="2"/>
  <c r="AB70" i="1" l="1"/>
  <c r="AB72" i="1" s="1"/>
  <c r="T40" i="1"/>
  <c r="AC13" i="1"/>
  <c r="AD14" i="1"/>
  <c r="U41" i="1"/>
  <c r="AC71" i="1" s="1"/>
  <c r="AC7" i="2"/>
  <c r="U20" i="2"/>
  <c r="V41" i="1" l="1"/>
  <c r="AD71" i="1" s="1"/>
  <c r="AE14" i="1"/>
  <c r="AD13" i="1"/>
  <c r="U40" i="1"/>
  <c r="AC70" i="1" s="1"/>
  <c r="AC72" i="1" s="1"/>
  <c r="AD7" i="2"/>
  <c r="V20" i="2"/>
  <c r="AD70" i="1" l="1"/>
  <c r="AD72" i="1" s="1"/>
  <c r="AE13" i="1"/>
  <c r="V40" i="1"/>
  <c r="AF14" i="1"/>
  <c r="W41" i="1"/>
  <c r="AE71" i="1" s="1"/>
  <c r="W20" i="2"/>
  <c r="A20" i="2" s="1"/>
  <c r="B26" i="2" s="1"/>
  <c r="C26" i="2" s="1"/>
  <c r="D26" i="2" s="1"/>
  <c r="D28" i="2" s="1"/>
  <c r="AF71" i="1" l="1"/>
  <c r="AF72" i="1" s="1"/>
  <c r="AG14" i="1"/>
  <c r="X41" i="1"/>
  <c r="AE70" i="1"/>
  <c r="AF13" i="1"/>
  <c r="W40" i="1"/>
  <c r="AE72" i="1" l="1"/>
  <c r="I70" i="1"/>
  <c r="AH14" i="1"/>
  <c r="Y41" i="1"/>
  <c r="AG71" i="1" s="1"/>
  <c r="AG72" i="1" s="1"/>
  <c r="X40" i="1"/>
  <c r="AG13" i="1"/>
  <c r="AH71" i="1" l="1"/>
  <c r="AH72" i="1" s="1"/>
  <c r="Z41" i="1"/>
  <c r="AI14" i="1"/>
  <c r="Y40" i="1"/>
  <c r="A40" i="1"/>
  <c r="B58" i="1" s="1"/>
  <c r="C58" i="1" s="1"/>
  <c r="D58" i="1" s="1"/>
  <c r="AI71" i="1" l="1"/>
  <c r="AI72" i="1" s="1"/>
  <c r="AJ14" i="1"/>
  <c r="AA41" i="1"/>
  <c r="H70" i="1"/>
  <c r="AK14" i="1" l="1"/>
  <c r="AB41" i="1"/>
  <c r="AJ71" i="1" s="1"/>
  <c r="AJ72" i="1" l="1"/>
  <c r="I72" i="1" s="1"/>
  <c r="I71" i="1"/>
  <c r="AL14" i="1"/>
  <c r="AC41" i="1"/>
  <c r="AD41" i="1" l="1"/>
  <c r="AM14" i="1"/>
  <c r="AE41" i="1" l="1"/>
  <c r="A41" i="1" s="1"/>
  <c r="B59" i="1" s="1"/>
  <c r="C59" i="1" l="1"/>
  <c r="D59" i="1" s="1"/>
  <c r="D61" i="1" s="1"/>
  <c r="H71" i="1"/>
  <c r="H72" i="1"/>
  <c r="J3" i="3" l="1"/>
  <c r="AM12" i="3"/>
  <c r="F6" i="3"/>
  <c r="G6" i="3"/>
  <c r="F4" i="3"/>
  <c r="G4" i="3"/>
  <c r="P6" i="3"/>
  <c r="F9" i="3"/>
  <c r="G9" i="3"/>
  <c r="N6" i="3"/>
  <c r="O6" i="3"/>
  <c r="T8" i="3"/>
  <c r="AG11" i="3"/>
  <c r="F5" i="3"/>
  <c r="G5" i="3"/>
  <c r="Q7" i="3"/>
  <c r="R7" i="3"/>
  <c r="F10" i="3"/>
  <c r="G10" i="3"/>
  <c r="F12" i="3"/>
  <c r="G12" i="3"/>
  <c r="F8" i="3"/>
  <c r="G8" i="3"/>
  <c r="U9" i="3"/>
  <c r="Z10" i="3"/>
  <c r="AA10" i="3"/>
  <c r="AK12" i="3"/>
  <c r="AL12" i="3"/>
  <c r="F11" i="3"/>
  <c r="G11" i="3"/>
  <c r="F7" i="3"/>
  <c r="G7" i="3"/>
  <c r="S9" i="3"/>
  <c r="T9" i="3"/>
  <c r="S8" i="3"/>
  <c r="J5" i="3"/>
  <c r="K5" i="3"/>
  <c r="L5" i="3"/>
  <c r="M5" i="3"/>
  <c r="N5" i="3"/>
  <c r="J4" i="3"/>
  <c r="K4" i="3"/>
  <c r="L4" i="3"/>
  <c r="T10" i="3"/>
  <c r="U10" i="3"/>
  <c r="V10" i="3"/>
  <c r="W10" i="3"/>
  <c r="X10" i="3"/>
  <c r="Y10" i="3"/>
  <c r="W11" i="3"/>
  <c r="X11" i="3"/>
  <c r="Y11" i="3"/>
  <c r="Z11" i="3"/>
  <c r="AA11" i="3"/>
  <c r="AB11" i="3"/>
  <c r="AC11" i="3"/>
  <c r="AD11" i="3"/>
  <c r="AE11" i="3"/>
  <c r="AF11" i="3"/>
  <c r="M9" i="3"/>
  <c r="N9" i="3"/>
  <c r="O9" i="3"/>
  <c r="P9" i="3"/>
  <c r="Q9" i="3"/>
  <c r="R9" i="3"/>
  <c r="AD12" i="3"/>
  <c r="AE12" i="3"/>
  <c r="AF12" i="3"/>
  <c r="AG12" i="3"/>
  <c r="AH12" i="3"/>
  <c r="AI12" i="3"/>
  <c r="AJ12" i="3"/>
  <c r="J8" i="3"/>
  <c r="K8" i="3"/>
  <c r="L8" i="3"/>
  <c r="M8" i="3"/>
  <c r="N8" i="3"/>
  <c r="O8" i="3"/>
  <c r="P8" i="3"/>
  <c r="Q8" i="3"/>
  <c r="R8" i="3"/>
  <c r="J9" i="3"/>
  <c r="K9" i="3"/>
  <c r="L9" i="3"/>
  <c r="O7" i="3"/>
  <c r="P7" i="3"/>
  <c r="J6" i="3"/>
  <c r="K6" i="3"/>
  <c r="L6" i="3"/>
  <c r="M6" i="3"/>
  <c r="P10" i="3"/>
  <c r="Q10" i="3"/>
  <c r="R10" i="3"/>
  <c r="S10" i="3"/>
  <c r="N12" i="3"/>
  <c r="O12" i="3"/>
  <c r="P12" i="3"/>
  <c r="Q12" i="3"/>
  <c r="R12" i="3"/>
  <c r="S12" i="3"/>
  <c r="T12" i="3"/>
  <c r="U12" i="3"/>
  <c r="V12" i="3"/>
  <c r="W12" i="3"/>
  <c r="X12" i="3"/>
  <c r="Y12" i="3"/>
  <c r="Z12" i="3"/>
  <c r="AA12" i="3"/>
  <c r="AB12" i="3"/>
  <c r="AC12" i="3"/>
  <c r="J7" i="3"/>
  <c r="K7" i="3"/>
  <c r="L7" i="3"/>
  <c r="M7" i="3"/>
  <c r="N7" i="3"/>
  <c r="J11" i="3"/>
  <c r="K11" i="3"/>
  <c r="L11" i="3"/>
  <c r="M11" i="3"/>
  <c r="N11" i="3"/>
  <c r="O11" i="3"/>
  <c r="P11" i="3"/>
  <c r="Q11" i="3"/>
  <c r="R11" i="3"/>
  <c r="S11" i="3"/>
  <c r="T11" i="3"/>
  <c r="U11" i="3"/>
  <c r="V11" i="3"/>
  <c r="J12" i="3"/>
  <c r="K12" i="3"/>
  <c r="L12" i="3"/>
  <c r="M12" i="3"/>
  <c r="F3" i="3"/>
  <c r="G3" i="3"/>
  <c r="J10" i="3"/>
  <c r="K10" i="3"/>
  <c r="L10" i="3"/>
  <c r="M10" i="3"/>
  <c r="N10" i="3"/>
  <c r="O10" i="3"/>
</calcChain>
</file>

<file path=xl/sharedStrings.xml><?xml version="1.0" encoding="utf-8"?>
<sst xmlns="http://schemas.openxmlformats.org/spreadsheetml/2006/main" count="113" uniqueCount="28">
  <si>
    <t>OAT</t>
  </si>
  <si>
    <t>Maturity</t>
  </si>
  <si>
    <t>Dirty Price</t>
  </si>
  <si>
    <t>Clean Price</t>
  </si>
  <si>
    <t>Accrued interest</t>
  </si>
  <si>
    <t>Coefficients of the Nelson-Siegel model</t>
  </si>
  <si>
    <t>Theoretical Price</t>
  </si>
  <si>
    <t>Zero Coupon Rate</t>
  </si>
  <si>
    <t>Actual price</t>
  </si>
  <si>
    <t>Price Gap (TP-AP)</t>
  </si>
  <si>
    <t>Theoretical price</t>
  </si>
  <si>
    <t>e^2</t>
  </si>
  <si>
    <t>LT component</t>
  </si>
  <si>
    <t>ST component</t>
  </si>
  <si>
    <t>MT component</t>
  </si>
  <si>
    <t>TS</t>
  </si>
  <si>
    <t>The pure expectation theory postulates that forward rates are simply future expectations of short term rates. Interpretted, when time to matury is 10 years, the market, in our example, expects the short term rate of %XX.xx.</t>
  </si>
  <si>
    <t>The biased expectation theory attaches risk premium theory to the previous pure expectations theory. Instead of forward rates merely being predicted future short term rates, they are now assumed to also be partially explained by liquidity premiums. In our work...</t>
  </si>
  <si>
    <t>Coupon Rate</t>
  </si>
  <si>
    <t>Next Coupon Date</t>
  </si>
  <si>
    <t>Cash Flow Maturity (Years)</t>
  </si>
  <si>
    <r>
      <t>t</t>
    </r>
    <r>
      <rPr>
        <b/>
        <vertAlign val="subscript"/>
        <sz val="10"/>
        <rFont val="Symbol"/>
        <family val="1"/>
        <charset val="2"/>
      </rPr>
      <t>1</t>
    </r>
  </si>
  <si>
    <r>
      <t>b</t>
    </r>
    <r>
      <rPr>
        <b/>
        <vertAlign val="subscript"/>
        <sz val="10"/>
        <rFont val="Symbol"/>
        <family val="1"/>
        <charset val="2"/>
      </rPr>
      <t>0</t>
    </r>
  </si>
  <si>
    <r>
      <t>b</t>
    </r>
    <r>
      <rPr>
        <b/>
        <vertAlign val="subscript"/>
        <sz val="10"/>
        <rFont val="Symbol"/>
        <family val="1"/>
        <charset val="2"/>
      </rPr>
      <t>1</t>
    </r>
  </si>
  <si>
    <r>
      <t>b</t>
    </r>
    <r>
      <rPr>
        <b/>
        <vertAlign val="subscript"/>
        <sz val="10"/>
        <rFont val="Symbol"/>
        <family val="1"/>
        <charset val="2"/>
      </rPr>
      <t>2</t>
    </r>
  </si>
  <si>
    <r>
      <t>∑</t>
    </r>
    <r>
      <rPr>
        <b/>
        <sz val="7.7"/>
        <color theme="1"/>
        <rFont val="Calibri"/>
        <family val="2"/>
      </rPr>
      <t xml:space="preserve"> e^2</t>
    </r>
  </si>
  <si>
    <t>Duration</t>
  </si>
  <si>
    <t>Mduration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</si>
</sst>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
    <numFmt numFmtId="165" formatCode="0.00000"/>
    <numFmt numFmtId="166" formatCode="0.0000%"/>
  </numFmts>
  <fonts count="10"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0"/>
      <color indexed="18"/>
      <name val="Arial"/>
      <family val="2"/>
    </font>
    <font>
      <b/>
      <sz val="10"/>
      <name val="Arial"/>
      <family val="2"/>
    </font>
    <font>
      <b/>
      <sz val="10"/>
      <name val="Symbol"/>
      <family val="1"/>
      <charset val="2"/>
    </font>
    <font>
      <b/>
      <vertAlign val="subscript"/>
      <sz val="10"/>
      <name val="Symbol"/>
      <family val="1"/>
      <charset val="2"/>
    </font>
    <font>
      <b/>
      <sz val="11"/>
      <color theme="1"/>
      <name val="Calibri"/>
      <family val="2"/>
    </font>
    <font>
      <b/>
      <sz val="7.7"/>
      <color theme="1"/>
      <name val="Calibri"/>
      <family val="2"/>
    </font>
  </fonts>
  <fills count="11">
    <fill>
      <patternFill patternType="none"/>
    </fill>
    <fill>
      <patternFill patternType="gray125"/>
    </fill>
    <fill>
      <patternFill patternType="solid">
        <fgColor theme="5" tint="0.59999389629810485"/>
        <bgColor indexed="64"/>
      </patternFill>
    </fill>
    <fill>
      <patternFill patternType="solid">
        <fgColor indexed="43"/>
        <bgColor indexed="64"/>
      </patternFill>
    </fill>
    <fill>
      <patternFill patternType="solid">
        <fgColor indexed="50"/>
        <bgColor indexed="64"/>
      </patternFill>
    </fill>
    <fill>
      <patternFill patternType="solid">
        <fgColor rgb="FFFFC000"/>
        <bgColor indexed="64"/>
      </patternFill>
    </fill>
    <fill>
      <patternFill patternType="solid">
        <fgColor theme="9" tint="0.39997558519241921"/>
        <bgColor indexed="64"/>
      </patternFill>
    </fill>
    <fill>
      <patternFill patternType="solid">
        <fgColor rgb="FFFFFF00"/>
        <bgColor indexed="64"/>
      </patternFill>
    </fill>
    <fill>
      <patternFill patternType="solid">
        <fgColor theme="8"/>
        <bgColor indexed="64"/>
      </patternFill>
    </fill>
    <fill>
      <patternFill patternType="solid">
        <fgColor rgb="FFFF0000"/>
        <bgColor indexed="64"/>
      </patternFill>
    </fill>
    <fill>
      <patternFill patternType="solid">
        <fgColor rgb="FF00B0F0"/>
        <bgColor indexed="64"/>
      </patternFill>
    </fill>
  </fills>
  <borders count="4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bottom style="medium">
        <color indexed="64"/>
      </bottom>
      <diagonal/>
    </border>
    <border>
      <left style="medium">
        <color indexed="64"/>
      </left>
      <right style="thin">
        <color auto="1"/>
      </right>
      <top style="medium">
        <color indexed="64"/>
      </top>
      <bottom/>
      <diagonal/>
    </border>
  </borders>
  <cellStyleXfs count="2">
    <xf numFmtId="0" fontId="0" fillId="0" borderId="0"/>
    <xf numFmtId="9" fontId="1" fillId="0" borderId="0" applyFont="0" applyFill="0" applyBorder="0" applyAlignment="0" applyProtection="0"/>
  </cellStyleXfs>
  <cellXfs count="172">
    <xf numFmtId="0" fontId="0" fillId="0" borderId="0" xfId="0"/>
    <xf numFmtId="15" fontId="0" fillId="0" borderId="0" xfId="0" applyNumberFormat="1" applyBorder="1"/>
    <xf numFmtId="0" fontId="0" fillId="0" borderId="0" xfId="0" applyFill="1" applyBorder="1"/>
    <xf numFmtId="0" fontId="3" fillId="0" borderId="0" xfId="0" applyFont="1"/>
    <xf numFmtId="166" fontId="4" fillId="0" borderId="0" xfId="0" applyNumberFormat="1" applyFont="1" applyFill="1" applyBorder="1" applyAlignment="1">
      <alignment horizontal="center"/>
    </xf>
    <xf numFmtId="166" fontId="0" fillId="0" borderId="0" xfId="0" applyNumberFormat="1" applyFill="1" applyBorder="1"/>
    <xf numFmtId="0" fontId="0" fillId="0" borderId="4" xfId="0" applyBorder="1"/>
    <xf numFmtId="166" fontId="0" fillId="0" borderId="4" xfId="0" applyNumberFormat="1" applyBorder="1"/>
    <xf numFmtId="166" fontId="4" fillId="0" borderId="4" xfId="0" applyNumberFormat="1" applyFont="1" applyFill="1" applyBorder="1" applyAlignment="1">
      <alignment horizontal="center"/>
    </xf>
    <xf numFmtId="166" fontId="0" fillId="0" borderId="4" xfId="0" applyNumberFormat="1" applyFill="1" applyBorder="1"/>
    <xf numFmtId="0" fontId="0" fillId="0" borderId="5" xfId="0" applyBorder="1"/>
    <xf numFmtId="0" fontId="0" fillId="0" borderId="10" xfId="0" applyBorder="1"/>
    <xf numFmtId="0" fontId="0" fillId="0" borderId="0" xfId="0" applyBorder="1"/>
    <xf numFmtId="166" fontId="0" fillId="0" borderId="0" xfId="1" applyNumberFormat="1" applyFont="1" applyBorder="1" applyAlignment="1">
      <alignment horizontal="center"/>
    </xf>
    <xf numFmtId="0" fontId="0" fillId="0" borderId="0" xfId="0" applyFill="1" applyBorder="1" applyAlignment="1">
      <alignment horizontal="center" vertical="center" wrapText="1"/>
    </xf>
    <xf numFmtId="165" fontId="0" fillId="6" borderId="4" xfId="0" applyNumberFormat="1" applyFill="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0" fillId="0" borderId="0" xfId="0" applyAlignment="1">
      <alignment horizontal="center"/>
    </xf>
    <xf numFmtId="0" fontId="2" fillId="0" borderId="13" xfId="0" applyFont="1" applyFill="1" applyBorder="1" applyAlignment="1">
      <alignment horizontal="center"/>
    </xf>
    <xf numFmtId="2" fontId="0" fillId="0" borderId="9" xfId="0" applyNumberFormat="1" applyBorder="1" applyAlignment="1">
      <alignment horizontal="center"/>
    </xf>
    <xf numFmtId="2" fontId="0" fillId="0" borderId="5" xfId="0" applyNumberFormat="1" applyFill="1" applyBorder="1" applyAlignment="1">
      <alignment horizontal="center"/>
    </xf>
    <xf numFmtId="0" fontId="0" fillId="0" borderId="5" xfId="0" applyBorder="1" applyAlignment="1">
      <alignment horizontal="center"/>
    </xf>
    <xf numFmtId="0" fontId="0" fillId="0" borderId="10" xfId="0" applyBorder="1" applyAlignment="1">
      <alignment horizontal="center"/>
    </xf>
    <xf numFmtId="2" fontId="0" fillId="0" borderId="11" xfId="0" applyNumberFormat="1" applyBorder="1" applyAlignment="1">
      <alignment horizontal="center"/>
    </xf>
    <xf numFmtId="2" fontId="0" fillId="0" borderId="12" xfId="0" applyNumberFormat="1" applyFill="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2" fontId="0" fillId="4" borderId="23" xfId="0" applyNumberFormat="1" applyFill="1" applyBorder="1"/>
    <xf numFmtId="2" fontId="0" fillId="4" borderId="24" xfId="0" applyNumberFormat="1" applyFill="1" applyBorder="1"/>
    <xf numFmtId="2" fontId="0" fillId="4" borderId="26" xfId="0" applyNumberFormat="1" applyFill="1" applyBorder="1"/>
    <xf numFmtId="166" fontId="4" fillId="0" borderId="7" xfId="0" applyNumberFormat="1" applyFont="1" applyFill="1" applyBorder="1" applyAlignment="1">
      <alignment horizontal="center"/>
    </xf>
    <xf numFmtId="166" fontId="0" fillId="0" borderId="7" xfId="0" applyNumberFormat="1" applyFill="1" applyBorder="1"/>
    <xf numFmtId="0" fontId="0" fillId="0" borderId="7" xfId="0" applyFill="1" applyBorder="1"/>
    <xf numFmtId="0" fontId="0" fillId="0" borderId="8" xfId="0" applyFill="1" applyBorder="1"/>
    <xf numFmtId="166" fontId="4" fillId="0" borderId="28" xfId="0" applyNumberFormat="1" applyFont="1" applyFill="1" applyBorder="1" applyAlignment="1">
      <alignment horizontal="center"/>
    </xf>
    <xf numFmtId="0" fontId="0" fillId="0" borderId="28" xfId="0" applyBorder="1"/>
    <xf numFmtId="166" fontId="4" fillId="0" borderId="27" xfId="0" applyNumberFormat="1" applyFont="1" applyFill="1" applyBorder="1" applyAlignment="1">
      <alignment horizontal="center"/>
    </xf>
    <xf numFmtId="166" fontId="0" fillId="0" borderId="27" xfId="0" applyNumberFormat="1" applyBorder="1"/>
    <xf numFmtId="0" fontId="0" fillId="0" borderId="27" xfId="0" applyBorder="1"/>
    <xf numFmtId="0" fontId="0" fillId="0" borderId="29" xfId="0" applyBorder="1"/>
    <xf numFmtId="0" fontId="2" fillId="3" borderId="18" xfId="0" applyFont="1" applyFill="1" applyBorder="1" applyAlignment="1">
      <alignment horizontal="center" vertical="center" wrapText="1"/>
    </xf>
    <xf numFmtId="0" fontId="2" fillId="3" borderId="19" xfId="0" applyFont="1" applyFill="1" applyBorder="1" applyAlignment="1">
      <alignment horizontal="center" vertical="center" wrapText="1"/>
    </xf>
    <xf numFmtId="0" fontId="2" fillId="3" borderId="20" xfId="0" applyFont="1" applyFill="1" applyBorder="1" applyAlignment="1">
      <alignment horizontal="center" vertical="center" wrapText="1"/>
    </xf>
    <xf numFmtId="0" fontId="6" fillId="6" borderId="4" xfId="0" applyFont="1" applyFill="1" applyBorder="1" applyAlignment="1">
      <alignment horizontal="center"/>
    </xf>
    <xf numFmtId="0" fontId="2" fillId="0" borderId="21" xfId="0" applyFont="1" applyBorder="1" applyAlignment="1">
      <alignment horizontal="center"/>
    </xf>
    <xf numFmtId="0" fontId="8" fillId="0" borderId="18" xfId="0" applyFont="1" applyBorder="1" applyAlignment="1">
      <alignment horizontal="center"/>
    </xf>
    <xf numFmtId="0" fontId="2" fillId="0" borderId="20" xfId="0" applyFont="1" applyBorder="1" applyAlignment="1">
      <alignment horizontal="center"/>
    </xf>
    <xf numFmtId="0" fontId="5" fillId="3" borderId="19" xfId="0" applyFont="1" applyFill="1" applyBorder="1" applyAlignment="1">
      <alignment horizontal="center" vertical="center" wrapText="1"/>
    </xf>
    <xf numFmtId="0" fontId="5" fillId="3" borderId="20" xfId="0" applyFont="1" applyFill="1" applyBorder="1" applyAlignment="1">
      <alignment horizontal="center" vertical="center" wrapText="1"/>
    </xf>
    <xf numFmtId="166" fontId="0" fillId="0" borderId="29" xfId="1" applyNumberFormat="1" applyFont="1" applyBorder="1" applyAlignment="1">
      <alignment horizontal="center"/>
    </xf>
    <xf numFmtId="166" fontId="0" fillId="0" borderId="28" xfId="1" applyNumberFormat="1" applyFont="1" applyBorder="1" applyAlignment="1">
      <alignment horizontal="center"/>
    </xf>
    <xf numFmtId="166" fontId="0" fillId="0" borderId="25" xfId="1" applyNumberFormat="1" applyFont="1" applyBorder="1" applyAlignment="1">
      <alignment horizontal="center"/>
    </xf>
    <xf numFmtId="10" fontId="4" fillId="4" borderId="27" xfId="0" applyNumberFormat="1" applyFont="1" applyFill="1" applyBorder="1" applyAlignment="1">
      <alignment horizontal="center"/>
    </xf>
    <xf numFmtId="10" fontId="4" fillId="4" borderId="4" xfId="0" applyNumberFormat="1" applyFont="1" applyFill="1" applyBorder="1" applyAlignment="1">
      <alignment horizontal="center"/>
    </xf>
    <xf numFmtId="10" fontId="4" fillId="4" borderId="22" xfId="0" applyNumberFormat="1" applyFont="1" applyFill="1" applyBorder="1" applyAlignment="1">
      <alignment horizontal="center"/>
    </xf>
    <xf numFmtId="10" fontId="4" fillId="4" borderId="25" xfId="0" applyNumberFormat="1" applyFont="1" applyFill="1" applyBorder="1" applyAlignment="1">
      <alignment horizontal="center"/>
    </xf>
    <xf numFmtId="165" fontId="0" fillId="0" borderId="27" xfId="0" applyNumberFormat="1" applyBorder="1" applyAlignment="1">
      <alignment horizontal="center"/>
    </xf>
    <xf numFmtId="0" fontId="0" fillId="0" borderId="27" xfId="0" applyBorder="1" applyAlignment="1">
      <alignment horizontal="center"/>
    </xf>
    <xf numFmtId="165" fontId="0" fillId="0" borderId="4" xfId="0" applyNumberFormat="1" applyBorder="1" applyAlignment="1">
      <alignment horizontal="center"/>
    </xf>
    <xf numFmtId="0" fontId="0" fillId="0" borderId="4" xfId="0" applyBorder="1" applyAlignment="1">
      <alignment horizontal="center"/>
    </xf>
    <xf numFmtId="165" fontId="0" fillId="0" borderId="22" xfId="0" applyNumberFormat="1" applyBorder="1" applyAlignment="1">
      <alignment horizontal="center"/>
    </xf>
    <xf numFmtId="0" fontId="0" fillId="0" borderId="22" xfId="0" applyBorder="1" applyAlignment="1">
      <alignment horizontal="center"/>
    </xf>
    <xf numFmtId="2" fontId="0" fillId="2" borderId="26" xfId="0" applyNumberFormat="1" applyFill="1" applyBorder="1" applyAlignment="1">
      <alignment horizontal="center"/>
    </xf>
    <xf numFmtId="2" fontId="0" fillId="2" borderId="23" xfId="0" applyNumberFormat="1" applyFill="1" applyBorder="1" applyAlignment="1">
      <alignment horizontal="center"/>
    </xf>
    <xf numFmtId="2" fontId="0" fillId="2" borderId="24" xfId="0" applyNumberFormat="1" applyFill="1" applyBorder="1" applyAlignment="1">
      <alignment horizontal="center"/>
    </xf>
    <xf numFmtId="0" fontId="0" fillId="0" borderId="30" xfId="0" applyBorder="1" applyAlignment="1">
      <alignment horizontal="center"/>
    </xf>
    <xf numFmtId="0" fontId="0" fillId="0" borderId="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11" fontId="0" fillId="0" borderId="0" xfId="0" applyNumberFormat="1"/>
    <xf numFmtId="0" fontId="8" fillId="0" borderId="21" xfId="0" applyNumberFormat="1" applyFont="1" applyBorder="1" applyAlignment="1">
      <alignment horizontal="center"/>
    </xf>
    <xf numFmtId="0" fontId="0" fillId="8" borderId="9" xfId="0" applyFill="1" applyBorder="1" applyAlignment="1">
      <alignment horizontal="center"/>
    </xf>
    <xf numFmtId="10" fontId="0" fillId="8" borderId="5" xfId="1" applyNumberFormat="1" applyFont="1" applyFill="1" applyBorder="1" applyAlignment="1">
      <alignment horizontal="center"/>
    </xf>
    <xf numFmtId="164" fontId="0" fillId="8" borderId="5" xfId="0" applyNumberFormat="1" applyFill="1" applyBorder="1" applyAlignment="1">
      <alignment horizontal="center"/>
    </xf>
    <xf numFmtId="0" fontId="0" fillId="8" borderId="5" xfId="0" applyFill="1" applyBorder="1" applyAlignment="1">
      <alignment horizontal="center"/>
    </xf>
    <xf numFmtId="2" fontId="0" fillId="8" borderId="5" xfId="0" applyNumberFormat="1" applyFill="1" applyBorder="1" applyAlignment="1">
      <alignment horizontal="center"/>
    </xf>
    <xf numFmtId="2" fontId="0" fillId="8" borderId="10" xfId="0" applyNumberFormat="1" applyFill="1" applyBorder="1" applyAlignment="1">
      <alignment horizontal="center"/>
    </xf>
    <xf numFmtId="0" fontId="0" fillId="8" borderId="5" xfId="0" applyFont="1" applyFill="1" applyBorder="1" applyAlignment="1">
      <alignment horizontal="center"/>
    </xf>
    <xf numFmtId="0" fontId="0" fillId="8" borderId="11" xfId="0" applyFill="1" applyBorder="1" applyAlignment="1">
      <alignment horizontal="center"/>
    </xf>
    <xf numFmtId="10" fontId="0" fillId="8" borderId="12" xfId="1" applyNumberFormat="1" applyFont="1" applyFill="1" applyBorder="1" applyAlignment="1">
      <alignment horizontal="center"/>
    </xf>
    <xf numFmtId="164" fontId="0" fillId="8" borderId="12" xfId="0" applyNumberFormat="1" applyFill="1" applyBorder="1" applyAlignment="1">
      <alignment horizontal="center"/>
    </xf>
    <xf numFmtId="0" fontId="0" fillId="8" borderId="12" xfId="0" applyFont="1" applyFill="1" applyBorder="1" applyAlignment="1">
      <alignment horizontal="center"/>
    </xf>
    <xf numFmtId="2" fontId="0" fillId="8" borderId="12" xfId="0" applyNumberFormat="1" applyFill="1" applyBorder="1" applyAlignment="1">
      <alignment horizontal="center"/>
    </xf>
    <xf numFmtId="2" fontId="0" fillId="8" borderId="13" xfId="0" applyNumberFormat="1" applyFill="1" applyBorder="1" applyAlignment="1">
      <alignment horizontal="center"/>
    </xf>
    <xf numFmtId="2" fontId="0" fillId="8" borderId="9" xfId="0" applyNumberFormat="1" applyFill="1" applyBorder="1"/>
    <xf numFmtId="2" fontId="0" fillId="8" borderId="5" xfId="0" applyNumberFormat="1" applyFill="1" applyBorder="1"/>
    <xf numFmtId="2" fontId="0" fillId="8" borderId="11" xfId="0" applyNumberFormat="1" applyFill="1" applyBorder="1"/>
    <xf numFmtId="2" fontId="0" fillId="8" borderId="12" xfId="0" applyNumberFormat="1" applyFill="1" applyBorder="1"/>
    <xf numFmtId="0" fontId="0" fillId="0" borderId="5" xfId="0" applyFill="1" applyBorder="1"/>
    <xf numFmtId="2" fontId="0" fillId="8" borderId="13" xfId="0" applyNumberFormat="1" applyFill="1" applyBorder="1"/>
    <xf numFmtId="0" fontId="0" fillId="5" borderId="9" xfId="0" applyFill="1" applyBorder="1" applyAlignment="1">
      <alignment horizontal="center"/>
    </xf>
    <xf numFmtId="10" fontId="0" fillId="5" borderId="5" xfId="1" applyNumberFormat="1" applyFont="1" applyFill="1" applyBorder="1" applyAlignment="1">
      <alignment horizontal="center"/>
    </xf>
    <xf numFmtId="14" fontId="0" fillId="5" borderId="5" xfId="0" applyNumberFormat="1" applyFill="1" applyBorder="1" applyAlignment="1">
      <alignment horizontal="center"/>
    </xf>
    <xf numFmtId="164" fontId="0" fillId="5" borderId="5" xfId="0" applyNumberFormat="1" applyFill="1" applyBorder="1" applyAlignment="1">
      <alignment horizontal="center"/>
    </xf>
    <xf numFmtId="0" fontId="0" fillId="5" borderId="5" xfId="0" applyFill="1" applyBorder="1" applyAlignment="1">
      <alignment horizontal="center"/>
    </xf>
    <xf numFmtId="2" fontId="0" fillId="5" borderId="5" xfId="0" applyNumberFormat="1" applyFill="1" applyBorder="1" applyAlignment="1">
      <alignment horizontal="center"/>
    </xf>
    <xf numFmtId="2" fontId="0" fillId="5" borderId="10" xfId="0" applyNumberFormat="1" applyFill="1" applyBorder="1" applyAlignment="1">
      <alignment horizontal="center"/>
    </xf>
    <xf numFmtId="0" fontId="0" fillId="5" borderId="11" xfId="0" applyFill="1" applyBorder="1" applyAlignment="1">
      <alignment horizontal="center"/>
    </xf>
    <xf numFmtId="10" fontId="0" fillId="5" borderId="12" xfId="1" applyNumberFormat="1" applyFont="1" applyFill="1" applyBorder="1" applyAlignment="1">
      <alignment horizontal="center"/>
    </xf>
    <xf numFmtId="14" fontId="0" fillId="5" borderId="12" xfId="0" applyNumberFormat="1" applyFill="1" applyBorder="1" applyAlignment="1">
      <alignment horizontal="center"/>
    </xf>
    <xf numFmtId="164" fontId="0" fillId="5" borderId="12" xfId="0" applyNumberFormat="1" applyFill="1" applyBorder="1" applyAlignment="1">
      <alignment horizontal="center"/>
    </xf>
    <xf numFmtId="0" fontId="0" fillId="5" borderId="12" xfId="0" applyFill="1" applyBorder="1" applyAlignment="1">
      <alignment horizontal="center"/>
    </xf>
    <xf numFmtId="2" fontId="0" fillId="5" borderId="12" xfId="0" applyNumberFormat="1" applyFill="1" applyBorder="1" applyAlignment="1">
      <alignment horizontal="center"/>
    </xf>
    <xf numFmtId="2" fontId="0" fillId="5" borderId="13" xfId="0" applyNumberFormat="1" applyFill="1" applyBorder="1" applyAlignment="1">
      <alignment horizontal="center"/>
    </xf>
    <xf numFmtId="2" fontId="0" fillId="5" borderId="9" xfId="0" applyNumberFormat="1" applyFill="1" applyBorder="1"/>
    <xf numFmtId="2" fontId="0" fillId="5" borderId="5" xfId="0" applyNumberFormat="1" applyFill="1" applyBorder="1"/>
    <xf numFmtId="2" fontId="0" fillId="5" borderId="11" xfId="0" applyNumberFormat="1" applyFill="1" applyBorder="1"/>
    <xf numFmtId="2" fontId="0" fillId="5" borderId="12" xfId="0" applyNumberFormat="1" applyFill="1" applyBorder="1"/>
    <xf numFmtId="2" fontId="0" fillId="5" borderId="13" xfId="0" applyNumberFormat="1" applyFill="1" applyBorder="1"/>
    <xf numFmtId="0" fontId="0" fillId="7" borderId="6" xfId="0" applyFill="1" applyBorder="1" applyAlignment="1">
      <alignment horizontal="center" vertical="center" wrapText="1"/>
    </xf>
    <xf numFmtId="0" fontId="0" fillId="7" borderId="7" xfId="0" applyFill="1" applyBorder="1" applyAlignment="1">
      <alignment horizontal="center"/>
    </xf>
    <xf numFmtId="0" fontId="0" fillId="7" borderId="7" xfId="0" applyFill="1" applyBorder="1" applyAlignment="1">
      <alignment horizontal="center" vertical="center" wrapText="1"/>
    </xf>
    <xf numFmtId="0" fontId="0" fillId="7" borderId="8" xfId="0" applyFill="1" applyBorder="1" applyAlignment="1">
      <alignment horizontal="center" vertical="center" wrapText="1"/>
    </xf>
    <xf numFmtId="164" fontId="2" fillId="9" borderId="14" xfId="0" applyNumberFormat="1" applyFont="1" applyFill="1" applyBorder="1" applyAlignment="1">
      <alignment horizontal="center"/>
    </xf>
    <xf numFmtId="164" fontId="2" fillId="9" borderId="22" xfId="0" applyNumberFormat="1" applyFont="1" applyFill="1" applyBorder="1" applyAlignment="1">
      <alignment horizontal="center"/>
    </xf>
    <xf numFmtId="0" fontId="2" fillId="0" borderId="15" xfId="0" applyFont="1" applyBorder="1" applyAlignment="1">
      <alignment horizontal="center"/>
    </xf>
    <xf numFmtId="2" fontId="0" fillId="0" borderId="5" xfId="0" applyNumberFormat="1" applyBorder="1" applyAlignment="1">
      <alignment horizontal="center"/>
    </xf>
    <xf numFmtId="0" fontId="0" fillId="10" borderId="0" xfId="0" applyFill="1"/>
    <xf numFmtId="2" fontId="0" fillId="8" borderId="0" xfId="0" applyNumberFormat="1" applyFill="1" applyBorder="1"/>
    <xf numFmtId="0" fontId="0" fillId="0" borderId="0" xfId="0" applyFill="1" applyBorder="1" applyAlignment="1">
      <alignment horizontal="center"/>
    </xf>
    <xf numFmtId="10" fontId="0" fillId="0" borderId="0" xfId="1" applyNumberFormat="1" applyFont="1" applyFill="1" applyBorder="1" applyAlignment="1">
      <alignment horizontal="center"/>
    </xf>
    <xf numFmtId="164" fontId="0" fillId="0" borderId="0" xfId="0" applyNumberFormat="1" applyFill="1" applyBorder="1" applyAlignment="1">
      <alignment horizontal="center"/>
    </xf>
    <xf numFmtId="0" fontId="0" fillId="0" borderId="0" xfId="0" applyFont="1" applyFill="1" applyBorder="1" applyAlignment="1">
      <alignment horizontal="center"/>
    </xf>
    <xf numFmtId="2" fontId="0" fillId="0" borderId="0" xfId="0" applyNumberFormat="1" applyFill="1" applyBorder="1" applyAlignment="1">
      <alignment horizontal="center"/>
    </xf>
    <xf numFmtId="0" fontId="0" fillId="0" borderId="0" xfId="0" applyFill="1"/>
    <xf numFmtId="2" fontId="0" fillId="0" borderId="0" xfId="0" applyNumberFormat="1" applyFill="1" applyBorder="1"/>
    <xf numFmtId="0" fontId="2" fillId="0" borderId="0" xfId="0" applyFont="1" applyBorder="1" applyAlignment="1">
      <alignment horizontal="center"/>
    </xf>
    <xf numFmtId="0" fontId="2" fillId="0" borderId="0" xfId="0" applyFont="1" applyFill="1" applyBorder="1" applyAlignment="1">
      <alignment horizontal="center"/>
    </xf>
    <xf numFmtId="0" fontId="2" fillId="0" borderId="38" xfId="0" applyFont="1" applyBorder="1" applyAlignment="1">
      <alignment horizontal="center"/>
    </xf>
    <xf numFmtId="0" fontId="2" fillId="0" borderId="39" xfId="0" applyFont="1" applyFill="1" applyBorder="1" applyAlignment="1">
      <alignment horizontal="center"/>
    </xf>
    <xf numFmtId="2" fontId="0" fillId="8" borderId="40" xfId="0" applyNumberFormat="1" applyFill="1" applyBorder="1" applyAlignment="1">
      <alignment horizontal="center"/>
    </xf>
    <xf numFmtId="2" fontId="0" fillId="8" borderId="41" xfId="0" applyNumberFormat="1" applyFill="1" applyBorder="1" applyAlignment="1">
      <alignment horizontal="center"/>
    </xf>
    <xf numFmtId="0" fontId="2" fillId="0" borderId="39" xfId="0" applyFont="1" applyBorder="1" applyAlignment="1">
      <alignment horizontal="center"/>
    </xf>
    <xf numFmtId="2" fontId="0" fillId="8" borderId="45" xfId="0" applyNumberFormat="1" applyFill="1" applyBorder="1" applyAlignment="1">
      <alignment horizontal="center"/>
    </xf>
    <xf numFmtId="0" fontId="2" fillId="8" borderId="44" xfId="0" applyFont="1" applyFill="1" applyBorder="1" applyAlignment="1">
      <alignment horizontal="center"/>
    </xf>
    <xf numFmtId="10" fontId="2" fillId="8" borderId="35" xfId="0" applyNumberFormat="1" applyFont="1" applyFill="1" applyBorder="1" applyAlignment="1">
      <alignment horizontal="center"/>
    </xf>
    <xf numFmtId="164" fontId="2" fillId="8" borderId="42" xfId="0" applyNumberFormat="1" applyFont="1" applyFill="1" applyBorder="1" applyAlignment="1">
      <alignment horizontal="center"/>
    </xf>
    <xf numFmtId="164" fontId="2" fillId="8" borderId="34" xfId="0" applyNumberFormat="1" applyFont="1" applyFill="1" applyBorder="1" applyAlignment="1">
      <alignment horizontal="center"/>
    </xf>
    <xf numFmtId="0" fontId="2" fillId="8" borderId="35" xfId="0" applyFont="1" applyFill="1" applyBorder="1" applyAlignment="1">
      <alignment horizontal="center"/>
    </xf>
    <xf numFmtId="2" fontId="2" fillId="8" borderId="42" xfId="0" applyNumberFormat="1" applyFont="1" applyFill="1" applyBorder="1" applyAlignment="1">
      <alignment horizontal="center"/>
    </xf>
    <xf numFmtId="0" fontId="2" fillId="8" borderId="30" xfId="0" applyFont="1" applyFill="1" applyBorder="1" applyAlignment="1">
      <alignment horizontal="center"/>
    </xf>
    <xf numFmtId="10" fontId="2" fillId="8" borderId="36" xfId="0" applyNumberFormat="1" applyFont="1" applyFill="1" applyBorder="1" applyAlignment="1">
      <alignment horizontal="center"/>
    </xf>
    <xf numFmtId="164" fontId="2" fillId="8" borderId="31" xfId="0" applyNumberFormat="1" applyFont="1" applyFill="1" applyBorder="1" applyAlignment="1">
      <alignment horizontal="center"/>
    </xf>
    <xf numFmtId="164" fontId="2" fillId="8" borderId="0" xfId="0" applyNumberFormat="1" applyFont="1" applyFill="1" applyBorder="1" applyAlignment="1">
      <alignment horizontal="center"/>
    </xf>
    <xf numFmtId="0" fontId="2" fillId="8" borderId="36" xfId="0" applyFont="1" applyFill="1" applyBorder="1" applyAlignment="1">
      <alignment horizontal="center"/>
    </xf>
    <xf numFmtId="2" fontId="2" fillId="8" borderId="31" xfId="0" applyNumberFormat="1" applyFont="1" applyFill="1" applyBorder="1" applyAlignment="1">
      <alignment horizontal="center"/>
    </xf>
    <xf numFmtId="0" fontId="2" fillId="8" borderId="32" xfId="0" applyFont="1" applyFill="1" applyBorder="1" applyAlignment="1">
      <alignment horizontal="center"/>
    </xf>
    <xf numFmtId="10" fontId="2" fillId="8" borderId="37" xfId="0" applyNumberFormat="1" applyFont="1" applyFill="1" applyBorder="1" applyAlignment="1">
      <alignment horizontal="center"/>
    </xf>
    <xf numFmtId="164" fontId="2" fillId="8" borderId="43" xfId="0" applyNumberFormat="1" applyFont="1" applyFill="1" applyBorder="1" applyAlignment="1">
      <alignment horizontal="center"/>
    </xf>
    <xf numFmtId="164" fontId="2" fillId="8" borderId="33" xfId="0" applyNumberFormat="1" applyFont="1" applyFill="1" applyBorder="1" applyAlignment="1">
      <alignment horizontal="center"/>
    </xf>
    <xf numFmtId="0" fontId="2" fillId="8" borderId="37" xfId="0" applyFont="1" applyFill="1" applyBorder="1" applyAlignment="1">
      <alignment horizontal="center"/>
    </xf>
    <xf numFmtId="2" fontId="2" fillId="8" borderId="43" xfId="0" applyNumberFormat="1" applyFont="1" applyFill="1" applyBorder="1" applyAlignment="1">
      <alignment horizontal="center"/>
    </xf>
    <xf numFmtId="2" fontId="0" fillId="8" borderId="46" xfId="0" applyNumberFormat="1" applyFill="1" applyBorder="1"/>
    <xf numFmtId="2" fontId="0" fillId="0" borderId="34" xfId="0" applyNumberFormat="1" applyFill="1" applyBorder="1"/>
    <xf numFmtId="2" fontId="0" fillId="0" borderId="42" xfId="0" applyNumberFormat="1" applyFill="1" applyBorder="1"/>
    <xf numFmtId="2" fontId="0" fillId="0" borderId="31" xfId="0" applyNumberFormat="1" applyFill="1" applyBorder="1"/>
    <xf numFmtId="2" fontId="0" fillId="0" borderId="33" xfId="0" applyNumberFormat="1" applyFill="1" applyBorder="1"/>
    <xf numFmtId="2" fontId="0" fillId="0" borderId="43" xfId="0" applyNumberFormat="1" applyFill="1" applyBorder="1"/>
    <xf numFmtId="2" fontId="0" fillId="8" borderId="34" xfId="0" applyNumberFormat="1" applyFill="1" applyBorder="1"/>
    <xf numFmtId="2" fontId="0" fillId="8" borderId="33" xfId="0" applyNumberFormat="1" applyFill="1" applyBorder="1"/>
    <xf numFmtId="0" fontId="5"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0" borderId="15" xfId="0" applyFont="1"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5" fillId="6" borderId="2" xfId="0" applyFont="1" applyFill="1" applyBorder="1" applyAlignment="1">
      <alignment horizontal="center" vertical="center"/>
    </xf>
    <xf numFmtId="0" fontId="5" fillId="6" borderId="3"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577954838278946E-2"/>
          <c:y val="1.3377539638784682E-2"/>
          <c:w val="0.75712263842290373"/>
          <c:h val="0.95132358276824036"/>
        </c:manualLayout>
      </c:layout>
      <c:scatterChart>
        <c:scatterStyle val="smoothMarker"/>
        <c:varyColors val="0"/>
        <c:ser>
          <c:idx val="0"/>
          <c:order val="0"/>
          <c:tx>
            <c:strRef>
              <c:f>'NS Calculations'!$G$49</c:f>
              <c:strCache>
                <c:ptCount val="1"/>
                <c:pt idx="0">
                  <c:v>LT component</c:v>
                </c:pt>
              </c:strCache>
            </c:strRef>
          </c:tx>
          <c:xVal>
            <c:numRef>
              <c:f>'NS Calculations'!$F$50:$F$59</c:f>
              <c:numCache>
                <c:formatCode>0.00</c:formatCode>
                <c:ptCount val="10"/>
                <c:pt idx="0">
                  <c:v>0.61643835616438358</c:v>
                </c:pt>
                <c:pt idx="1">
                  <c:v>2.117808219178082</c:v>
                </c:pt>
                <c:pt idx="2">
                  <c:v>4.117808219178082</c:v>
                </c:pt>
                <c:pt idx="3">
                  <c:v>6.6191780821917812</c:v>
                </c:pt>
                <c:pt idx="4">
                  <c:v>8.1205479452054803</c:v>
                </c:pt>
                <c:pt idx="5">
                  <c:v>10.123287671232877</c:v>
                </c:pt>
                <c:pt idx="6">
                  <c:v>11.621917808219179</c:v>
                </c:pt>
                <c:pt idx="7">
                  <c:v>17.627397260273973</c:v>
                </c:pt>
                <c:pt idx="8">
                  <c:v>23.63013698630137</c:v>
                </c:pt>
                <c:pt idx="9">
                  <c:v>29.635616438356163</c:v>
                </c:pt>
              </c:numCache>
            </c:numRef>
          </c:xVal>
          <c:yVal>
            <c:numRef>
              <c:f>'NS Calculations'!$G$50:$G$59</c:f>
              <c:numCache>
                <c:formatCode>0.00000</c:formatCode>
                <c:ptCount val="10"/>
                <c:pt idx="0">
                  <c:v>4.5187398919746435E-2</c:v>
                </c:pt>
                <c:pt idx="1">
                  <c:v>4.5187398919746435E-2</c:v>
                </c:pt>
                <c:pt idx="2">
                  <c:v>4.5187398919746435E-2</c:v>
                </c:pt>
                <c:pt idx="3">
                  <c:v>4.5187398919746435E-2</c:v>
                </c:pt>
                <c:pt idx="4">
                  <c:v>4.5187398919746435E-2</c:v>
                </c:pt>
                <c:pt idx="5">
                  <c:v>4.5187398919746435E-2</c:v>
                </c:pt>
                <c:pt idx="6">
                  <c:v>4.5187398919746435E-2</c:v>
                </c:pt>
                <c:pt idx="7">
                  <c:v>4.5187398919746435E-2</c:v>
                </c:pt>
                <c:pt idx="8">
                  <c:v>4.5187398919746435E-2</c:v>
                </c:pt>
                <c:pt idx="9">
                  <c:v>4.5187398919746435E-2</c:v>
                </c:pt>
              </c:numCache>
            </c:numRef>
          </c:yVal>
          <c:smooth val="1"/>
        </c:ser>
        <c:ser>
          <c:idx val="1"/>
          <c:order val="1"/>
          <c:tx>
            <c:strRef>
              <c:f>'NS Calculations'!$H$49</c:f>
              <c:strCache>
                <c:ptCount val="1"/>
                <c:pt idx="0">
                  <c:v>ST component</c:v>
                </c:pt>
              </c:strCache>
            </c:strRef>
          </c:tx>
          <c:xVal>
            <c:numRef>
              <c:f>'NS Calculations'!$F$50:$F$59</c:f>
              <c:numCache>
                <c:formatCode>0.00</c:formatCode>
                <c:ptCount val="10"/>
                <c:pt idx="0">
                  <c:v>0.61643835616438358</c:v>
                </c:pt>
                <c:pt idx="1">
                  <c:v>2.117808219178082</c:v>
                </c:pt>
                <c:pt idx="2">
                  <c:v>4.117808219178082</c:v>
                </c:pt>
                <c:pt idx="3">
                  <c:v>6.6191780821917812</c:v>
                </c:pt>
                <c:pt idx="4">
                  <c:v>8.1205479452054803</c:v>
                </c:pt>
                <c:pt idx="5">
                  <c:v>10.123287671232877</c:v>
                </c:pt>
                <c:pt idx="6">
                  <c:v>11.621917808219179</c:v>
                </c:pt>
                <c:pt idx="7">
                  <c:v>17.627397260273973</c:v>
                </c:pt>
                <c:pt idx="8">
                  <c:v>23.63013698630137</c:v>
                </c:pt>
                <c:pt idx="9">
                  <c:v>29.635616438356163</c:v>
                </c:pt>
              </c:numCache>
            </c:numRef>
          </c:xVal>
          <c:yVal>
            <c:numRef>
              <c:f>'NS Calculations'!$H$50:$H$59</c:f>
              <c:numCache>
                <c:formatCode>General</c:formatCode>
                <c:ptCount val="10"/>
                <c:pt idx="0">
                  <c:v>-3.443931855799396E-2</c:v>
                </c:pt>
                <c:pt idx="1">
                  <c:v>-2.6768438007092502E-2</c:v>
                </c:pt>
                <c:pt idx="2">
                  <c:v>-1.9870019088601951E-2</c:v>
                </c:pt>
                <c:pt idx="3">
                  <c:v>-1.4470705455349812E-2</c:v>
                </c:pt>
                <c:pt idx="4">
                  <c:v>-1.2280525309324705E-2</c:v>
                </c:pt>
                <c:pt idx="5">
                  <c:v>-1.0127115928035011E-2</c:v>
                </c:pt>
                <c:pt idx="6">
                  <c:v>-8.9151351314078354E-3</c:v>
                </c:pt>
                <c:pt idx="7">
                  <c:v>-5.9531537193657112E-3</c:v>
                </c:pt>
                <c:pt idx="8">
                  <c:v>-4.4471162966628255E-3</c:v>
                </c:pt>
                <c:pt idx="9">
                  <c:v>-3.5464875344583136E-3</c:v>
                </c:pt>
              </c:numCache>
            </c:numRef>
          </c:yVal>
          <c:smooth val="1"/>
        </c:ser>
        <c:ser>
          <c:idx val="2"/>
          <c:order val="2"/>
          <c:tx>
            <c:strRef>
              <c:f>'NS Calculations'!$I$49</c:f>
              <c:strCache>
                <c:ptCount val="1"/>
                <c:pt idx="0">
                  <c:v>MT component</c:v>
                </c:pt>
              </c:strCache>
            </c:strRef>
          </c:tx>
          <c:xVal>
            <c:numRef>
              <c:f>'NS Calculations'!$F$50:$F$59</c:f>
              <c:numCache>
                <c:formatCode>0.00</c:formatCode>
                <c:ptCount val="10"/>
                <c:pt idx="0">
                  <c:v>0.61643835616438358</c:v>
                </c:pt>
                <c:pt idx="1">
                  <c:v>2.117808219178082</c:v>
                </c:pt>
                <c:pt idx="2">
                  <c:v>4.117808219178082</c:v>
                </c:pt>
                <c:pt idx="3">
                  <c:v>6.6191780821917812</c:v>
                </c:pt>
                <c:pt idx="4">
                  <c:v>8.1205479452054803</c:v>
                </c:pt>
                <c:pt idx="5">
                  <c:v>10.123287671232877</c:v>
                </c:pt>
                <c:pt idx="6">
                  <c:v>11.621917808219179</c:v>
                </c:pt>
                <c:pt idx="7">
                  <c:v>17.627397260273973</c:v>
                </c:pt>
                <c:pt idx="8">
                  <c:v>23.63013698630137</c:v>
                </c:pt>
                <c:pt idx="9">
                  <c:v>29.635616438356163</c:v>
                </c:pt>
              </c:numCache>
            </c:numRef>
          </c:xVal>
          <c:yVal>
            <c:numRef>
              <c:f>'NS Calculations'!$I$50:$I$59</c:f>
              <c:numCache>
                <c:formatCode>General</c:formatCode>
                <c:ptCount val="10"/>
                <c:pt idx="0">
                  <c:v>-3.3009006125064196E-3</c:v>
                </c:pt>
                <c:pt idx="1">
                  <c:v>-7.9870643651977925E-3</c:v>
                </c:pt>
                <c:pt idx="2">
                  <c:v>-1.0017337302002587E-2</c:v>
                </c:pt>
                <c:pt idx="3">
                  <c:v>-9.7627055624757587E-3</c:v>
                </c:pt>
                <c:pt idx="4">
                  <c:v>-9.1024909577854026E-3</c:v>
                </c:pt>
                <c:pt idx="5">
                  <c:v>-8.1046765289486001E-3</c:v>
                </c:pt>
                <c:pt idx="6">
                  <c:v>-7.3873854186465773E-3</c:v>
                </c:pt>
                <c:pt idx="7">
                  <c:v>-5.2016397871493128E-3</c:v>
                </c:pt>
                <c:pt idx="8">
                  <c:v>-3.9197841998151366E-3</c:v>
                </c:pt>
                <c:pt idx="9">
                  <c:v>-3.1300366935537627E-3</c:v>
                </c:pt>
              </c:numCache>
            </c:numRef>
          </c:yVal>
          <c:smooth val="1"/>
        </c:ser>
        <c:ser>
          <c:idx val="3"/>
          <c:order val="3"/>
          <c:tx>
            <c:strRef>
              <c:f>'NS Calculations'!$J$49</c:f>
              <c:strCache>
                <c:ptCount val="1"/>
                <c:pt idx="0">
                  <c:v>TS</c:v>
                </c:pt>
              </c:strCache>
            </c:strRef>
          </c:tx>
          <c:xVal>
            <c:numRef>
              <c:f>'NS Calculations'!$F$50:$F$59</c:f>
              <c:numCache>
                <c:formatCode>0.00</c:formatCode>
                <c:ptCount val="10"/>
                <c:pt idx="0">
                  <c:v>0.61643835616438358</c:v>
                </c:pt>
                <c:pt idx="1">
                  <c:v>2.117808219178082</c:v>
                </c:pt>
                <c:pt idx="2">
                  <c:v>4.117808219178082</c:v>
                </c:pt>
                <c:pt idx="3">
                  <c:v>6.6191780821917812</c:v>
                </c:pt>
                <c:pt idx="4">
                  <c:v>8.1205479452054803</c:v>
                </c:pt>
                <c:pt idx="5">
                  <c:v>10.123287671232877</c:v>
                </c:pt>
                <c:pt idx="6">
                  <c:v>11.621917808219179</c:v>
                </c:pt>
                <c:pt idx="7">
                  <c:v>17.627397260273973</c:v>
                </c:pt>
                <c:pt idx="8">
                  <c:v>23.63013698630137</c:v>
                </c:pt>
                <c:pt idx="9">
                  <c:v>29.635616438356163</c:v>
                </c:pt>
              </c:numCache>
            </c:numRef>
          </c:xVal>
          <c:yVal>
            <c:numRef>
              <c:f>'NS Calculations'!$J$50:$J$59</c:f>
              <c:numCache>
                <c:formatCode>0.0000%</c:formatCode>
                <c:ptCount val="10"/>
                <c:pt idx="0">
                  <c:v>7.4471797492460558E-3</c:v>
                </c:pt>
                <c:pt idx="1">
                  <c:v>1.0431896547456141E-2</c:v>
                </c:pt>
                <c:pt idx="2">
                  <c:v>1.5300042529141897E-2</c:v>
                </c:pt>
                <c:pt idx="3">
                  <c:v>2.0953987901920865E-2</c:v>
                </c:pt>
                <c:pt idx="4">
                  <c:v>2.3804382652636326E-2</c:v>
                </c:pt>
                <c:pt idx="5">
                  <c:v>2.6955606462762828E-2</c:v>
                </c:pt>
                <c:pt idx="6">
                  <c:v>2.8884878369692023E-2</c:v>
                </c:pt>
                <c:pt idx="7">
                  <c:v>3.4032605413231415E-2</c:v>
                </c:pt>
                <c:pt idx="8">
                  <c:v>3.6820498423268469E-2</c:v>
                </c:pt>
                <c:pt idx="9">
                  <c:v>3.8510874691734358E-2</c:v>
                </c:pt>
              </c:numCache>
            </c:numRef>
          </c:yVal>
          <c:smooth val="1"/>
        </c:ser>
        <c:dLbls>
          <c:showLegendKey val="0"/>
          <c:showVal val="0"/>
          <c:showCatName val="0"/>
          <c:showSerName val="0"/>
          <c:showPercent val="0"/>
          <c:showBubbleSize val="0"/>
        </c:dLbls>
        <c:axId val="92756992"/>
        <c:axId val="92787456"/>
      </c:scatterChart>
      <c:valAx>
        <c:axId val="92756992"/>
        <c:scaling>
          <c:orientation val="minMax"/>
        </c:scaling>
        <c:delete val="0"/>
        <c:axPos val="b"/>
        <c:numFmt formatCode="0.00" sourceLinked="1"/>
        <c:majorTickMark val="out"/>
        <c:minorTickMark val="none"/>
        <c:tickLblPos val="nextTo"/>
        <c:txPr>
          <a:bodyPr/>
          <a:lstStyle/>
          <a:p>
            <a:pPr>
              <a:defRPr lang="en-GB"/>
            </a:pPr>
            <a:endParaRPr lang="en-US"/>
          </a:p>
        </c:txPr>
        <c:crossAx val="92787456"/>
        <c:crosses val="autoZero"/>
        <c:crossBetween val="midCat"/>
      </c:valAx>
      <c:valAx>
        <c:axId val="92787456"/>
        <c:scaling>
          <c:orientation val="minMax"/>
        </c:scaling>
        <c:delete val="0"/>
        <c:axPos val="l"/>
        <c:majorGridlines/>
        <c:numFmt formatCode="0.00000" sourceLinked="1"/>
        <c:majorTickMark val="out"/>
        <c:minorTickMark val="none"/>
        <c:tickLblPos val="nextTo"/>
        <c:txPr>
          <a:bodyPr/>
          <a:lstStyle/>
          <a:p>
            <a:pPr>
              <a:defRPr lang="en-GB"/>
            </a:pPr>
            <a:endParaRPr lang="en-US"/>
          </a:p>
        </c:txPr>
        <c:crossAx val="92756992"/>
        <c:crosses val="autoZero"/>
        <c:crossBetween val="midCat"/>
      </c:valAx>
    </c:plotArea>
    <c:legend>
      <c:legendPos val="r"/>
      <c:overlay val="0"/>
      <c:txPr>
        <a:bodyPr/>
        <a:lstStyle/>
        <a:p>
          <a:pPr>
            <a:defRPr lang="en-GB"/>
          </a:pPr>
          <a:endParaRPr lang="en-US"/>
        </a:p>
      </c:txPr>
    </c:legend>
    <c:plotVisOnly val="1"/>
    <c:dispBlanksAs val="gap"/>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549088</xdr:colOff>
      <xdr:row>83</xdr:row>
      <xdr:rowOff>78442</xdr:rowOff>
    </xdr:from>
    <xdr:to>
      <xdr:col>12</xdr:col>
      <xdr:colOff>268941</xdr:colOff>
      <xdr:row>112</xdr:row>
      <xdr:rowOff>56031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xdr:from>
          <xdr:col>4</xdr:col>
          <xdr:colOff>266700</xdr:colOff>
          <xdr:row>25</xdr:row>
          <xdr:rowOff>30480</xdr:rowOff>
        </xdr:from>
        <xdr:to>
          <xdr:col>14</xdr:col>
          <xdr:colOff>175260</xdr:colOff>
          <xdr:row>28</xdr:row>
          <xdr:rowOff>121920</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53340</xdr:colOff>
          <xdr:row>41</xdr:row>
          <xdr:rowOff>137160</xdr:rowOff>
        </xdr:from>
        <xdr:to>
          <xdr:col>5</xdr:col>
          <xdr:colOff>640080</xdr:colOff>
          <xdr:row>46</xdr:row>
          <xdr:rowOff>152400</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BY102"/>
  <sheetViews>
    <sheetView zoomScale="85" zoomScaleNormal="85" workbookViewId="0"/>
  </sheetViews>
  <sheetFormatPr defaultColWidth="9.109375" defaultRowHeight="14.4" x14ac:dyDescent="0.3"/>
  <cols>
    <col min="2" max="2" width="14.6640625" bestFit="1" customWidth="1"/>
    <col min="3" max="3" width="15.88671875" customWidth="1"/>
    <col min="4" max="4" width="12.33203125" bestFit="1" customWidth="1"/>
    <col min="5" max="5" width="12.5546875" bestFit="1" customWidth="1"/>
    <col min="6" max="6" width="16.33203125" customWidth="1"/>
    <col min="7" max="7" width="16.109375" bestFit="1" customWidth="1"/>
    <col min="8" max="8" width="11.33203125" customWidth="1"/>
    <col min="9" max="9" width="9.6640625" customWidth="1"/>
    <col min="10" max="10" width="8.109375" bestFit="1" customWidth="1"/>
    <col min="11" max="11" width="8.88671875" customWidth="1"/>
    <col min="12" max="12" width="9.88671875" customWidth="1"/>
    <col min="13" max="13" width="8.6640625" customWidth="1"/>
    <col min="14" max="14" width="7.6640625" customWidth="1"/>
    <col min="15" max="15" width="8.33203125" customWidth="1"/>
    <col min="16" max="16" width="8.6640625" customWidth="1"/>
    <col min="17" max="17" width="8.5546875" customWidth="1"/>
    <col min="18" max="18" width="9.88671875" customWidth="1"/>
    <col min="19" max="19" width="9.5546875" customWidth="1"/>
    <col min="20" max="20" width="9.109375" customWidth="1"/>
    <col min="21" max="21" width="9.44140625" customWidth="1"/>
    <col min="22" max="22" width="9.5546875" customWidth="1"/>
    <col min="23" max="23" width="8.6640625" customWidth="1"/>
    <col min="24" max="24" width="8.44140625" customWidth="1"/>
    <col min="25" max="25" width="9.44140625" customWidth="1"/>
    <col min="26" max="26" width="9.6640625" customWidth="1"/>
    <col min="27" max="28" width="9.44140625" customWidth="1"/>
    <col min="29" max="29" width="8.5546875" customWidth="1"/>
    <col min="30" max="30" width="8.44140625" customWidth="1"/>
    <col min="31" max="31" width="9.33203125" customWidth="1"/>
    <col min="34" max="34" width="16.6640625" customWidth="1"/>
    <col min="35" max="35" width="12" customWidth="1"/>
    <col min="36" max="36" width="12.33203125" bestFit="1" customWidth="1"/>
    <col min="38" max="39" width="4.6640625" bestFit="1" customWidth="1"/>
    <col min="42" max="42" width="10.44140625" customWidth="1"/>
    <col min="43" max="44" width="11.6640625" bestFit="1" customWidth="1"/>
    <col min="45" max="45" width="12.33203125" bestFit="1" customWidth="1"/>
    <col min="74" max="75" width="16.109375" bestFit="1" customWidth="1"/>
    <col min="77" max="77" width="12" bestFit="1" customWidth="1"/>
  </cols>
  <sheetData>
    <row r="3" spans="1:73" ht="14.4" customHeight="1" thickBot="1" x14ac:dyDescent="0.35">
      <c r="D3" s="1"/>
      <c r="G3" s="117">
        <v>40799</v>
      </c>
      <c r="J3" s="3"/>
    </row>
    <row r="4" spans="1:73" ht="15" thickBot="1" x14ac:dyDescent="0.35">
      <c r="A4" s="16" t="s">
        <v>0</v>
      </c>
      <c r="B4" s="17" t="s">
        <v>18</v>
      </c>
      <c r="C4" s="17" t="s">
        <v>19</v>
      </c>
      <c r="D4" s="17" t="s">
        <v>1</v>
      </c>
      <c r="E4" s="17" t="s">
        <v>3</v>
      </c>
      <c r="F4" s="18" t="s">
        <v>4</v>
      </c>
      <c r="G4" s="19" t="s">
        <v>2</v>
      </c>
      <c r="J4" s="167" t="s">
        <v>20</v>
      </c>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9"/>
      <c r="BU4" s="14"/>
    </row>
    <row r="5" spans="1:73" x14ac:dyDescent="0.3">
      <c r="A5" s="75">
        <v>1</v>
      </c>
      <c r="B5" s="76">
        <v>0.05</v>
      </c>
      <c r="C5" s="77">
        <v>41024</v>
      </c>
      <c r="D5" s="77">
        <v>41024</v>
      </c>
      <c r="E5" s="78">
        <v>102.65</v>
      </c>
      <c r="F5" s="79">
        <f>($G$3-(C5-365))/365*B5*100</f>
        <v>1.9178082191780823</v>
      </c>
      <c r="G5" s="80">
        <f>E5+F5</f>
        <v>104.56780821917809</v>
      </c>
      <c r="J5" s="88">
        <f>(D5-$G$3)/365</f>
        <v>0.61643835616438358</v>
      </c>
      <c r="K5" s="92"/>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1"/>
    </row>
    <row r="6" spans="1:73" x14ac:dyDescent="0.3">
      <c r="A6" s="75">
        <v>2</v>
      </c>
      <c r="B6" s="76">
        <v>0.04</v>
      </c>
      <c r="C6" s="77">
        <v>40841</v>
      </c>
      <c r="D6" s="77">
        <v>41572</v>
      </c>
      <c r="E6" s="78">
        <v>106.23</v>
      </c>
      <c r="F6" s="79">
        <f t="shared" ref="F6:F14" si="0">($G$3-(C6-365))/365*B6*100</f>
        <v>3.5397260273972599</v>
      </c>
      <c r="G6" s="80">
        <f t="shared" ref="G6:G14" si="1">E6+F6</f>
        <v>109.76972602739727</v>
      </c>
      <c r="J6" s="88">
        <f t="shared" ref="J6:J14" si="2">(D6-$G$3)/365</f>
        <v>2.117808219178082</v>
      </c>
      <c r="K6" s="89">
        <f>J6-1</f>
        <v>1.117808219178082</v>
      </c>
      <c r="L6" s="89">
        <f>K6-1</f>
        <v>0.11780821917808204</v>
      </c>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1"/>
    </row>
    <row r="7" spans="1:73" x14ac:dyDescent="0.3">
      <c r="A7" s="75">
        <v>3</v>
      </c>
      <c r="B7" s="76">
        <v>0.03</v>
      </c>
      <c r="C7" s="77">
        <v>40841</v>
      </c>
      <c r="D7" s="77">
        <v>42302</v>
      </c>
      <c r="E7" s="78">
        <v>105.82</v>
      </c>
      <c r="F7" s="79">
        <f t="shared" si="0"/>
        <v>2.6547945205479451</v>
      </c>
      <c r="G7" s="80">
        <f t="shared" si="1"/>
        <v>108.47479452054793</v>
      </c>
      <c r="J7" s="88">
        <f t="shared" si="2"/>
        <v>4.117808219178082</v>
      </c>
      <c r="K7" s="89">
        <f t="shared" ref="K7:X14" si="3">J7-1</f>
        <v>3.117808219178082</v>
      </c>
      <c r="L7" s="89">
        <f t="shared" si="3"/>
        <v>2.117808219178082</v>
      </c>
      <c r="M7" s="89">
        <f>L7-1</f>
        <v>1.117808219178082</v>
      </c>
      <c r="N7" s="89">
        <f>M7-1</f>
        <v>0.11780821917808204</v>
      </c>
      <c r="O7" s="10"/>
      <c r="P7" s="10"/>
      <c r="Q7" s="10"/>
      <c r="R7" s="10"/>
      <c r="S7" s="10"/>
      <c r="T7" s="10"/>
      <c r="U7" s="10"/>
      <c r="V7" s="10"/>
      <c r="W7" s="10"/>
      <c r="X7" s="10"/>
      <c r="Y7" s="10"/>
      <c r="Z7" s="10"/>
      <c r="AA7" s="10"/>
      <c r="AB7" s="10"/>
      <c r="AC7" s="10"/>
      <c r="AD7" s="10"/>
      <c r="AE7" s="10"/>
      <c r="AF7" s="10"/>
      <c r="AG7" s="10"/>
      <c r="AH7" s="10"/>
      <c r="AI7" s="10"/>
      <c r="AJ7" s="10"/>
      <c r="AK7" s="10"/>
      <c r="AL7" s="10"/>
      <c r="AM7" s="11"/>
    </row>
    <row r="8" spans="1:73" x14ac:dyDescent="0.3">
      <c r="A8" s="75">
        <v>4</v>
      </c>
      <c r="B8" s="76">
        <v>0.04</v>
      </c>
      <c r="C8" s="77">
        <v>41024</v>
      </c>
      <c r="D8" s="77">
        <v>43215</v>
      </c>
      <c r="E8" s="78">
        <v>111.92</v>
      </c>
      <c r="F8" s="79">
        <f t="shared" si="0"/>
        <v>1.5342465753424657</v>
      </c>
      <c r="G8" s="80">
        <f t="shared" si="1"/>
        <v>113.45424657534247</v>
      </c>
      <c r="J8" s="88">
        <f t="shared" si="2"/>
        <v>6.6191780821917812</v>
      </c>
      <c r="K8" s="89">
        <f t="shared" si="3"/>
        <v>5.6191780821917812</v>
      </c>
      <c r="L8" s="89">
        <f t="shared" si="3"/>
        <v>4.6191780821917812</v>
      </c>
      <c r="M8" s="89">
        <f t="shared" si="3"/>
        <v>3.6191780821917812</v>
      </c>
      <c r="N8" s="89">
        <f t="shared" si="3"/>
        <v>2.6191780821917812</v>
      </c>
      <c r="O8" s="89">
        <f>N8-1</f>
        <v>1.6191780821917812</v>
      </c>
      <c r="P8" s="89">
        <f>O8-1</f>
        <v>0.61917808219178117</v>
      </c>
      <c r="Q8" s="10"/>
      <c r="R8" s="10"/>
      <c r="S8" s="10"/>
      <c r="T8" s="10"/>
      <c r="U8" s="10"/>
      <c r="V8" s="10"/>
      <c r="W8" s="10"/>
      <c r="X8" s="10"/>
      <c r="Y8" s="10"/>
      <c r="Z8" s="10"/>
      <c r="AA8" s="10"/>
      <c r="AB8" s="10"/>
      <c r="AC8" s="10"/>
      <c r="AD8" s="10"/>
      <c r="AE8" s="10"/>
      <c r="AF8" s="10"/>
      <c r="AG8" s="10"/>
      <c r="AH8" s="10"/>
      <c r="AI8" s="10"/>
      <c r="AJ8" s="10"/>
      <c r="AK8" s="10"/>
      <c r="AL8" s="10"/>
      <c r="AM8" s="11"/>
    </row>
    <row r="9" spans="1:73" x14ac:dyDescent="0.3">
      <c r="A9" s="75">
        <v>5</v>
      </c>
      <c r="B9" s="76">
        <v>3.7499999999999999E-2</v>
      </c>
      <c r="C9" s="77">
        <v>40841</v>
      </c>
      <c r="D9" s="77">
        <v>43763</v>
      </c>
      <c r="E9" s="78">
        <v>110.53</v>
      </c>
      <c r="F9" s="79">
        <f t="shared" si="0"/>
        <v>3.3184931506849313</v>
      </c>
      <c r="G9" s="80">
        <f t="shared" si="1"/>
        <v>113.84849315068493</v>
      </c>
      <c r="J9" s="88">
        <f t="shared" si="2"/>
        <v>8.1205479452054803</v>
      </c>
      <c r="K9" s="89">
        <f t="shared" si="3"/>
        <v>7.1205479452054803</v>
      </c>
      <c r="L9" s="89">
        <f t="shared" si="3"/>
        <v>6.1205479452054803</v>
      </c>
      <c r="M9" s="89">
        <f t="shared" si="3"/>
        <v>5.1205479452054803</v>
      </c>
      <c r="N9" s="89">
        <f t="shared" si="3"/>
        <v>4.1205479452054803</v>
      </c>
      <c r="O9" s="89">
        <f t="shared" si="3"/>
        <v>3.1205479452054803</v>
      </c>
      <c r="P9" s="89">
        <f t="shared" si="3"/>
        <v>2.1205479452054803</v>
      </c>
      <c r="Q9" s="89">
        <f t="shared" si="3"/>
        <v>1.1205479452054803</v>
      </c>
      <c r="R9" s="89">
        <f t="shared" si="3"/>
        <v>0.12054794520548029</v>
      </c>
      <c r="S9" s="10"/>
      <c r="T9" s="10"/>
      <c r="U9" s="10"/>
      <c r="V9" s="10"/>
      <c r="W9" s="10"/>
      <c r="X9" s="10"/>
      <c r="Y9" s="10"/>
      <c r="Z9" s="10"/>
      <c r="AA9" s="10"/>
      <c r="AB9" s="10"/>
      <c r="AC9" s="10"/>
      <c r="AD9" s="10"/>
      <c r="AE9" s="10"/>
      <c r="AF9" s="10"/>
      <c r="AG9" s="10"/>
      <c r="AH9" s="10"/>
      <c r="AI9" s="10"/>
      <c r="AJ9" s="10"/>
      <c r="AK9" s="10"/>
      <c r="AL9" s="10"/>
      <c r="AM9" s="11"/>
    </row>
    <row r="10" spans="1:73" x14ac:dyDescent="0.3">
      <c r="A10" s="75">
        <v>6</v>
      </c>
      <c r="B10" s="76">
        <v>3.2500000000000001E-2</v>
      </c>
      <c r="C10" s="77">
        <v>40841</v>
      </c>
      <c r="D10" s="77">
        <v>44494</v>
      </c>
      <c r="E10" s="78">
        <v>105.88</v>
      </c>
      <c r="F10" s="79">
        <f t="shared" si="0"/>
        <v>2.8760273972602741</v>
      </c>
      <c r="G10" s="80">
        <f t="shared" si="1"/>
        <v>108.75602739726027</v>
      </c>
      <c r="J10" s="88">
        <f t="shared" si="2"/>
        <v>10.123287671232877</v>
      </c>
      <c r="K10" s="89">
        <f t="shared" si="3"/>
        <v>9.1232876712328768</v>
      </c>
      <c r="L10" s="89">
        <f t="shared" si="3"/>
        <v>8.1232876712328768</v>
      </c>
      <c r="M10" s="89">
        <f t="shared" si="3"/>
        <v>7.1232876712328768</v>
      </c>
      <c r="N10" s="89">
        <f t="shared" si="3"/>
        <v>6.1232876712328768</v>
      </c>
      <c r="O10" s="89">
        <f t="shared" si="3"/>
        <v>5.1232876712328768</v>
      </c>
      <c r="P10" s="89">
        <f t="shared" si="3"/>
        <v>4.1232876712328768</v>
      </c>
      <c r="Q10" s="89">
        <f t="shared" si="3"/>
        <v>3.1232876712328768</v>
      </c>
      <c r="R10" s="89">
        <f t="shared" si="3"/>
        <v>2.1232876712328768</v>
      </c>
      <c r="S10" s="89">
        <f t="shared" si="3"/>
        <v>1.1232876712328768</v>
      </c>
      <c r="T10" s="89">
        <f>S10-1</f>
        <v>0.12328767123287676</v>
      </c>
      <c r="U10" s="10"/>
      <c r="V10" s="10"/>
      <c r="W10" s="10"/>
      <c r="X10" s="10"/>
      <c r="Y10" s="10"/>
      <c r="Z10" s="10"/>
      <c r="AA10" s="10"/>
      <c r="AB10" s="10"/>
      <c r="AC10" s="10"/>
      <c r="AD10" s="10"/>
      <c r="AE10" s="10"/>
      <c r="AF10" s="10"/>
      <c r="AG10" s="10"/>
      <c r="AH10" s="10"/>
      <c r="AI10" s="10"/>
      <c r="AJ10" s="10"/>
      <c r="AK10" s="10"/>
      <c r="AL10" s="10"/>
      <c r="AM10" s="11"/>
    </row>
    <row r="11" spans="1:73" x14ac:dyDescent="0.3">
      <c r="A11" s="75">
        <v>7</v>
      </c>
      <c r="B11" s="76">
        <v>8.5000000000000006E-2</v>
      </c>
      <c r="C11" s="77">
        <v>41024</v>
      </c>
      <c r="D11" s="77">
        <v>45041</v>
      </c>
      <c r="E11" s="81">
        <v>156.9</v>
      </c>
      <c r="F11" s="79">
        <f t="shared" si="0"/>
        <v>3.2602739726027394</v>
      </c>
      <c r="G11" s="80">
        <f t="shared" si="1"/>
        <v>160.16027397260274</v>
      </c>
      <c r="J11" s="88">
        <f t="shared" si="2"/>
        <v>11.621917808219179</v>
      </c>
      <c r="K11" s="89">
        <f t="shared" si="3"/>
        <v>10.621917808219179</v>
      </c>
      <c r="L11" s="89">
        <f t="shared" si="3"/>
        <v>9.6219178082191785</v>
      </c>
      <c r="M11" s="89">
        <f t="shared" si="3"/>
        <v>8.6219178082191785</v>
      </c>
      <c r="N11" s="89">
        <f>M11-1</f>
        <v>7.6219178082191785</v>
      </c>
      <c r="O11" s="89">
        <f t="shared" si="3"/>
        <v>6.6219178082191785</v>
      </c>
      <c r="P11" s="89">
        <f t="shared" si="3"/>
        <v>5.6219178082191785</v>
      </c>
      <c r="Q11" s="89">
        <f t="shared" si="3"/>
        <v>4.6219178082191785</v>
      </c>
      <c r="R11" s="89">
        <f t="shared" si="3"/>
        <v>3.6219178082191785</v>
      </c>
      <c r="S11" s="89">
        <f t="shared" si="3"/>
        <v>2.6219178082191785</v>
      </c>
      <c r="T11" s="89">
        <f>S11-1</f>
        <v>1.6219178082191785</v>
      </c>
      <c r="U11" s="89">
        <f>T11-1</f>
        <v>0.62191780821917853</v>
      </c>
      <c r="V11" s="10"/>
      <c r="W11" s="10"/>
      <c r="X11" s="10"/>
      <c r="Y11" s="10"/>
      <c r="Z11" s="10"/>
      <c r="AA11" s="10"/>
      <c r="AB11" s="10"/>
      <c r="AC11" s="10"/>
      <c r="AD11" s="10"/>
      <c r="AE11" s="10"/>
      <c r="AF11" s="10"/>
      <c r="AG11" s="10"/>
      <c r="AH11" s="10"/>
      <c r="AI11" s="10"/>
      <c r="AJ11" s="10"/>
      <c r="AK11" s="10"/>
      <c r="AL11" s="10"/>
      <c r="AM11" s="11"/>
    </row>
    <row r="12" spans="1:73" x14ac:dyDescent="0.3">
      <c r="A12" s="75">
        <v>8</v>
      </c>
      <c r="B12" s="76">
        <v>5.5E-2</v>
      </c>
      <c r="C12" s="77">
        <v>41024</v>
      </c>
      <c r="D12" s="77">
        <v>47233</v>
      </c>
      <c r="E12" s="81">
        <v>129.93</v>
      </c>
      <c r="F12" s="79">
        <f t="shared" si="0"/>
        <v>2.10958904109589</v>
      </c>
      <c r="G12" s="80">
        <f t="shared" si="1"/>
        <v>132.03958904109589</v>
      </c>
      <c r="J12" s="88">
        <f t="shared" si="2"/>
        <v>17.627397260273973</v>
      </c>
      <c r="K12" s="89">
        <f t="shared" si="3"/>
        <v>16.627397260273973</v>
      </c>
      <c r="L12" s="89">
        <f t="shared" si="3"/>
        <v>15.627397260273973</v>
      </c>
      <c r="M12" s="89">
        <f t="shared" si="3"/>
        <v>14.627397260273973</v>
      </c>
      <c r="N12" s="89">
        <f t="shared" si="3"/>
        <v>13.627397260273973</v>
      </c>
      <c r="O12" s="89">
        <f t="shared" si="3"/>
        <v>12.627397260273973</v>
      </c>
      <c r="P12" s="89">
        <f t="shared" si="3"/>
        <v>11.627397260273973</v>
      </c>
      <c r="Q12" s="89">
        <f t="shared" si="3"/>
        <v>10.627397260273973</v>
      </c>
      <c r="R12" s="89">
        <f t="shared" si="3"/>
        <v>9.6273972602739732</v>
      </c>
      <c r="S12" s="89">
        <f t="shared" si="3"/>
        <v>8.6273972602739732</v>
      </c>
      <c r="T12" s="89">
        <f t="shared" si="3"/>
        <v>7.6273972602739732</v>
      </c>
      <c r="U12" s="89">
        <f t="shared" si="3"/>
        <v>6.6273972602739732</v>
      </c>
      <c r="V12" s="89">
        <f t="shared" si="3"/>
        <v>5.6273972602739732</v>
      </c>
      <c r="W12" s="89">
        <f t="shared" si="3"/>
        <v>4.6273972602739732</v>
      </c>
      <c r="X12" s="89">
        <f t="shared" si="3"/>
        <v>3.6273972602739732</v>
      </c>
      <c r="Y12" s="89">
        <f t="shared" ref="Y12:AA12" si="4">X12-1</f>
        <v>2.6273972602739732</v>
      </c>
      <c r="Z12" s="89">
        <f t="shared" si="4"/>
        <v>1.6273972602739732</v>
      </c>
      <c r="AA12" s="89">
        <f t="shared" si="4"/>
        <v>0.62739726027397325</v>
      </c>
      <c r="AB12" s="10"/>
      <c r="AC12" s="10"/>
      <c r="AD12" s="10"/>
      <c r="AE12" s="10"/>
      <c r="AF12" s="10"/>
      <c r="AG12" s="10"/>
      <c r="AH12" s="10"/>
      <c r="AI12" s="10"/>
      <c r="AJ12" s="10"/>
      <c r="AK12" s="10"/>
      <c r="AL12" s="10"/>
      <c r="AM12" s="11"/>
    </row>
    <row r="13" spans="1:73" x14ac:dyDescent="0.3">
      <c r="A13" s="75">
        <v>9</v>
      </c>
      <c r="B13" s="76">
        <v>4.7500000000000001E-2</v>
      </c>
      <c r="C13" s="77">
        <v>41024</v>
      </c>
      <c r="D13" s="77">
        <v>49424</v>
      </c>
      <c r="E13" s="81">
        <v>122.52</v>
      </c>
      <c r="F13" s="79">
        <f t="shared" si="0"/>
        <v>1.821917808219178</v>
      </c>
      <c r="G13" s="80">
        <f t="shared" si="1"/>
        <v>124.34191780821918</v>
      </c>
      <c r="J13" s="88">
        <f t="shared" si="2"/>
        <v>23.63013698630137</v>
      </c>
      <c r="K13" s="89">
        <f t="shared" si="3"/>
        <v>22.63013698630137</v>
      </c>
      <c r="L13" s="89">
        <f t="shared" si="3"/>
        <v>21.63013698630137</v>
      </c>
      <c r="M13" s="89">
        <f t="shared" si="3"/>
        <v>20.63013698630137</v>
      </c>
      <c r="N13" s="89">
        <f t="shared" si="3"/>
        <v>19.63013698630137</v>
      </c>
      <c r="O13" s="89">
        <f t="shared" si="3"/>
        <v>18.63013698630137</v>
      </c>
      <c r="P13" s="89">
        <f t="shared" si="3"/>
        <v>17.63013698630137</v>
      </c>
      <c r="Q13" s="89">
        <f t="shared" si="3"/>
        <v>16.63013698630137</v>
      </c>
      <c r="R13" s="89">
        <f t="shared" si="3"/>
        <v>15.63013698630137</v>
      </c>
      <c r="S13" s="89">
        <f t="shared" si="3"/>
        <v>14.63013698630137</v>
      </c>
      <c r="T13" s="89">
        <f t="shared" si="3"/>
        <v>13.63013698630137</v>
      </c>
      <c r="U13" s="89">
        <f t="shared" si="3"/>
        <v>12.63013698630137</v>
      </c>
      <c r="V13" s="89">
        <f t="shared" si="3"/>
        <v>11.63013698630137</v>
      </c>
      <c r="W13" s="89">
        <f t="shared" si="3"/>
        <v>10.63013698630137</v>
      </c>
      <c r="X13" s="89">
        <f t="shared" si="3"/>
        <v>9.6301369863013697</v>
      </c>
      <c r="Y13" s="89">
        <f t="shared" ref="Y13:AA13" si="5">X13-1</f>
        <v>8.6301369863013697</v>
      </c>
      <c r="Z13" s="89">
        <f t="shared" si="5"/>
        <v>7.6301369863013697</v>
      </c>
      <c r="AA13" s="89">
        <f t="shared" si="5"/>
        <v>6.6301369863013697</v>
      </c>
      <c r="AB13" s="89">
        <f t="shared" ref="AB13:AG13" si="6">AA13-1</f>
        <v>5.6301369863013697</v>
      </c>
      <c r="AC13" s="89">
        <f t="shared" si="6"/>
        <v>4.6301369863013697</v>
      </c>
      <c r="AD13" s="89">
        <f t="shared" si="6"/>
        <v>3.6301369863013697</v>
      </c>
      <c r="AE13" s="89">
        <f t="shared" si="6"/>
        <v>2.6301369863013697</v>
      </c>
      <c r="AF13" s="89">
        <f t="shared" si="6"/>
        <v>1.6301369863013697</v>
      </c>
      <c r="AG13" s="89">
        <f t="shared" si="6"/>
        <v>0.63013698630136972</v>
      </c>
      <c r="AH13" s="10"/>
      <c r="AI13" s="10"/>
      <c r="AJ13" s="10"/>
      <c r="AK13" s="10"/>
      <c r="AL13" s="10"/>
      <c r="AM13" s="11"/>
    </row>
    <row r="14" spans="1:73" ht="15" thickBot="1" x14ac:dyDescent="0.35">
      <c r="A14" s="82">
        <v>10</v>
      </c>
      <c r="B14" s="83">
        <v>4.4999999999999998E-2</v>
      </c>
      <c r="C14" s="84">
        <v>41024</v>
      </c>
      <c r="D14" s="84">
        <v>51616</v>
      </c>
      <c r="E14" s="85">
        <v>119.84</v>
      </c>
      <c r="F14" s="86">
        <f t="shared" si="0"/>
        <v>1.7260273972602738</v>
      </c>
      <c r="G14" s="87">
        <f t="shared" si="1"/>
        <v>121.56602739726027</v>
      </c>
      <c r="J14" s="90">
        <f t="shared" si="2"/>
        <v>29.635616438356163</v>
      </c>
      <c r="K14" s="91">
        <f t="shared" si="3"/>
        <v>28.635616438356163</v>
      </c>
      <c r="L14" s="91">
        <f t="shared" si="3"/>
        <v>27.635616438356163</v>
      </c>
      <c r="M14" s="91">
        <f t="shared" si="3"/>
        <v>26.635616438356163</v>
      </c>
      <c r="N14" s="91">
        <f t="shared" si="3"/>
        <v>25.635616438356163</v>
      </c>
      <c r="O14" s="91">
        <f t="shared" si="3"/>
        <v>24.635616438356163</v>
      </c>
      <c r="P14" s="91">
        <f t="shared" si="3"/>
        <v>23.635616438356163</v>
      </c>
      <c r="Q14" s="91">
        <f t="shared" si="3"/>
        <v>22.635616438356163</v>
      </c>
      <c r="R14" s="91">
        <f t="shared" si="3"/>
        <v>21.635616438356163</v>
      </c>
      <c r="S14" s="91">
        <f t="shared" si="3"/>
        <v>20.635616438356163</v>
      </c>
      <c r="T14" s="91">
        <f t="shared" si="3"/>
        <v>19.635616438356163</v>
      </c>
      <c r="U14" s="91">
        <f t="shared" si="3"/>
        <v>18.635616438356163</v>
      </c>
      <c r="V14" s="91">
        <f t="shared" si="3"/>
        <v>17.635616438356163</v>
      </c>
      <c r="W14" s="91">
        <f t="shared" si="3"/>
        <v>16.635616438356163</v>
      </c>
      <c r="X14" s="91">
        <f>W14-1</f>
        <v>15.635616438356163</v>
      </c>
      <c r="Y14" s="91">
        <f>X14-1</f>
        <v>14.635616438356163</v>
      </c>
      <c r="Z14" s="91">
        <f t="shared" ref="Z14:AA14" si="7">Y14-1</f>
        <v>13.635616438356163</v>
      </c>
      <c r="AA14" s="91">
        <f t="shared" si="7"/>
        <v>12.635616438356163</v>
      </c>
      <c r="AB14" s="91">
        <f t="shared" ref="AB14:AM14" si="8">AA14-1</f>
        <v>11.635616438356163</v>
      </c>
      <c r="AC14" s="91">
        <f t="shared" si="8"/>
        <v>10.635616438356163</v>
      </c>
      <c r="AD14" s="91">
        <f t="shared" si="8"/>
        <v>9.6356164383561627</v>
      </c>
      <c r="AE14" s="91">
        <f t="shared" si="8"/>
        <v>8.6356164383561627</v>
      </c>
      <c r="AF14" s="91">
        <f t="shared" si="8"/>
        <v>7.6356164383561627</v>
      </c>
      <c r="AG14" s="91">
        <f t="shared" si="8"/>
        <v>6.6356164383561627</v>
      </c>
      <c r="AH14" s="91">
        <f t="shared" si="8"/>
        <v>5.6356164383561627</v>
      </c>
      <c r="AI14" s="91">
        <f t="shared" si="8"/>
        <v>4.6356164383561627</v>
      </c>
      <c r="AJ14" s="91">
        <f t="shared" si="8"/>
        <v>3.6356164383561627</v>
      </c>
      <c r="AK14" s="91">
        <f t="shared" si="8"/>
        <v>2.6356164383561627</v>
      </c>
      <c r="AL14" s="91">
        <f t="shared" si="8"/>
        <v>1.6356164383561627</v>
      </c>
      <c r="AM14" s="93">
        <f t="shared" si="8"/>
        <v>0.63561643835616266</v>
      </c>
      <c r="BU14" s="4"/>
    </row>
    <row r="15" spans="1:73" x14ac:dyDescent="0.3">
      <c r="A15" s="123"/>
      <c r="B15" s="124"/>
      <c r="C15" s="125"/>
      <c r="D15" s="125"/>
      <c r="E15" s="126"/>
      <c r="F15" s="127"/>
      <c r="G15" s="127"/>
      <c r="H15" s="128"/>
      <c r="I15" s="128"/>
      <c r="J15" s="129"/>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8"/>
      <c r="BU15" s="4"/>
    </row>
    <row r="16" spans="1:73" ht="15" thickBot="1" x14ac:dyDescent="0.35">
      <c r="D16" s="1"/>
      <c r="G16" s="117">
        <v>40799</v>
      </c>
      <c r="H16" s="128"/>
      <c r="I16" s="128"/>
      <c r="J16" s="129"/>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8"/>
      <c r="BU16" s="4"/>
    </row>
    <row r="17" spans="1:77" s="128" customFormat="1" ht="15" thickBot="1" x14ac:dyDescent="0.35">
      <c r="A17" s="119" t="s">
        <v>0</v>
      </c>
      <c r="B17" s="47" t="s">
        <v>18</v>
      </c>
      <c r="C17" s="136" t="s">
        <v>19</v>
      </c>
      <c r="D17" s="132" t="s">
        <v>1</v>
      </c>
      <c r="E17" s="47" t="s">
        <v>3</v>
      </c>
      <c r="F17" s="133" t="s">
        <v>4</v>
      </c>
      <c r="G17" s="19" t="s">
        <v>2</v>
      </c>
      <c r="J17" s="129"/>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BU17" s="4"/>
    </row>
    <row r="18" spans="1:77" s="128" customFormat="1" x14ac:dyDescent="0.3">
      <c r="A18" s="138">
        <v>1</v>
      </c>
      <c r="B18" s="139">
        <v>3.5000000000000003E-2</v>
      </c>
      <c r="C18" s="140">
        <v>41024</v>
      </c>
      <c r="D18" s="141">
        <v>42119</v>
      </c>
      <c r="E18" s="142">
        <v>107.43</v>
      </c>
      <c r="F18" s="134">
        <f>($G$16-(C18-365))/365*B18*100</f>
        <v>1.3424657534246576</v>
      </c>
      <c r="G18" s="143">
        <f>E18+F18</f>
        <v>108.77246575342467</v>
      </c>
      <c r="J18" s="156">
        <f>(D18-$G$3)/365</f>
        <v>3.6164383561643834</v>
      </c>
      <c r="K18" s="162">
        <f>J18-1</f>
        <v>2.6164383561643834</v>
      </c>
      <c r="L18" s="162">
        <f>K18-1</f>
        <v>1.6164383561643834</v>
      </c>
      <c r="M18" s="162">
        <f>L18-1</f>
        <v>0.61643835616438336</v>
      </c>
      <c r="N18" s="157"/>
      <c r="O18" s="157"/>
      <c r="P18" s="157"/>
      <c r="Q18" s="157"/>
      <c r="R18" s="157"/>
      <c r="S18" s="157"/>
      <c r="T18" s="157"/>
      <c r="U18" s="157"/>
      <c r="V18" s="157"/>
      <c r="W18" s="157"/>
      <c r="X18" s="157"/>
      <c r="Y18" s="157"/>
      <c r="Z18" s="157"/>
      <c r="AA18" s="157"/>
      <c r="AB18" s="157"/>
      <c r="AC18" s="157"/>
      <c r="AD18" s="157"/>
      <c r="AE18" s="157"/>
      <c r="AF18" s="157"/>
      <c r="AG18" s="157"/>
      <c r="AH18" s="157"/>
      <c r="AI18" s="157"/>
      <c r="AJ18" s="157"/>
      <c r="AK18" s="157"/>
      <c r="AL18" s="157"/>
      <c r="AM18" s="158"/>
      <c r="BU18" s="4"/>
    </row>
    <row r="19" spans="1:77" s="128" customFormat="1" x14ac:dyDescent="0.3">
      <c r="A19" s="144">
        <v>2</v>
      </c>
      <c r="B19" s="145">
        <v>8.2500000000000004E-2</v>
      </c>
      <c r="C19" s="146">
        <v>41024</v>
      </c>
      <c r="D19" s="147">
        <v>44676</v>
      </c>
      <c r="E19" s="148">
        <v>151.69999999999999</v>
      </c>
      <c r="F19" s="135">
        <f>($G$16-(C19-365))/365*B19*100</f>
        <v>3.1643835616438354</v>
      </c>
      <c r="G19" s="149">
        <f t="shared" ref="G19:G20" si="9">E19+F19</f>
        <v>154.86438356164382</v>
      </c>
      <c r="J19" s="88">
        <f t="shared" ref="J19" si="10">(D19-$G$3)/365</f>
        <v>10.621917808219179</v>
      </c>
      <c r="K19" s="122">
        <f>J19-1</f>
        <v>9.6219178082191785</v>
      </c>
      <c r="L19" s="122">
        <f t="shared" ref="L19:S19" si="11">K19-1</f>
        <v>8.6219178082191785</v>
      </c>
      <c r="M19" s="122">
        <f t="shared" si="11"/>
        <v>7.6219178082191785</v>
      </c>
      <c r="N19" s="122">
        <f t="shared" si="11"/>
        <v>6.6219178082191785</v>
      </c>
      <c r="O19" s="122">
        <f t="shared" si="11"/>
        <v>5.6219178082191785</v>
      </c>
      <c r="P19" s="122">
        <f t="shared" si="11"/>
        <v>4.6219178082191785</v>
      </c>
      <c r="Q19" s="122">
        <f t="shared" si="11"/>
        <v>3.6219178082191785</v>
      </c>
      <c r="R19" s="122">
        <f t="shared" si="11"/>
        <v>2.6219178082191785</v>
      </c>
      <c r="S19" s="122">
        <f t="shared" si="11"/>
        <v>1.6219178082191785</v>
      </c>
      <c r="T19" s="122">
        <f>S19-1</f>
        <v>0.62191780821917853</v>
      </c>
      <c r="U19" s="129"/>
      <c r="V19" s="129"/>
      <c r="W19" s="129"/>
      <c r="X19" s="129"/>
      <c r="Y19" s="129"/>
      <c r="Z19" s="129"/>
      <c r="AA19" s="129"/>
      <c r="AB19" s="129"/>
      <c r="AC19" s="129"/>
      <c r="AD19" s="129"/>
      <c r="AE19" s="129"/>
      <c r="AF19" s="129"/>
      <c r="AG19" s="129"/>
      <c r="AH19" s="129"/>
      <c r="AI19" s="129"/>
      <c r="AJ19" s="129"/>
      <c r="AK19" s="129"/>
      <c r="AL19" s="129"/>
      <c r="AM19" s="159"/>
      <c r="BU19" s="4"/>
    </row>
    <row r="20" spans="1:77" s="128" customFormat="1" ht="15" thickBot="1" x14ac:dyDescent="0.35">
      <c r="A20" s="150">
        <v>3</v>
      </c>
      <c r="B20" s="151">
        <v>0.04</v>
      </c>
      <c r="C20" s="152">
        <v>40841</v>
      </c>
      <c r="D20" s="153">
        <v>50703</v>
      </c>
      <c r="E20" s="154">
        <v>110.61</v>
      </c>
      <c r="F20" s="137">
        <f t="shared" ref="F20" si="12">($G$16-(C20-365))/365*B20*100</f>
        <v>3.5397260273972599</v>
      </c>
      <c r="G20" s="155">
        <f t="shared" si="9"/>
        <v>114.14972602739726</v>
      </c>
      <c r="J20" s="90">
        <f>(D20-$G$3)/365</f>
        <v>27.134246575342466</v>
      </c>
      <c r="K20" s="163">
        <f>J20-1</f>
        <v>26.134246575342466</v>
      </c>
      <c r="L20" s="163">
        <f t="shared" ref="L20:AK20" si="13">K20-1</f>
        <v>25.134246575342466</v>
      </c>
      <c r="M20" s="163">
        <f t="shared" si="13"/>
        <v>24.134246575342466</v>
      </c>
      <c r="N20" s="163">
        <f t="shared" si="13"/>
        <v>23.134246575342466</v>
      </c>
      <c r="O20" s="163">
        <f t="shared" si="13"/>
        <v>22.134246575342466</v>
      </c>
      <c r="P20" s="163">
        <f t="shared" si="13"/>
        <v>21.134246575342466</v>
      </c>
      <c r="Q20" s="163">
        <f t="shared" si="13"/>
        <v>20.134246575342466</v>
      </c>
      <c r="R20" s="163">
        <f t="shared" si="13"/>
        <v>19.134246575342466</v>
      </c>
      <c r="S20" s="163">
        <f t="shared" si="13"/>
        <v>18.134246575342466</v>
      </c>
      <c r="T20" s="163">
        <f t="shared" si="13"/>
        <v>17.134246575342466</v>
      </c>
      <c r="U20" s="163">
        <f t="shared" si="13"/>
        <v>16.134246575342466</v>
      </c>
      <c r="V20" s="163">
        <f t="shared" si="13"/>
        <v>15.134246575342466</v>
      </c>
      <c r="W20" s="163">
        <f t="shared" si="13"/>
        <v>14.134246575342466</v>
      </c>
      <c r="X20" s="163">
        <f t="shared" si="13"/>
        <v>13.134246575342466</v>
      </c>
      <c r="Y20" s="163">
        <f t="shared" si="13"/>
        <v>12.134246575342466</v>
      </c>
      <c r="Z20" s="163">
        <f t="shared" si="13"/>
        <v>11.134246575342466</v>
      </c>
      <c r="AA20" s="163">
        <f t="shared" si="13"/>
        <v>10.134246575342466</v>
      </c>
      <c r="AB20" s="163">
        <f t="shared" si="13"/>
        <v>9.1342465753424662</v>
      </c>
      <c r="AC20" s="163">
        <f t="shared" si="13"/>
        <v>8.1342465753424662</v>
      </c>
      <c r="AD20" s="163">
        <f t="shared" si="13"/>
        <v>7.1342465753424662</v>
      </c>
      <c r="AE20" s="163">
        <f t="shared" si="13"/>
        <v>6.1342465753424662</v>
      </c>
      <c r="AF20" s="163">
        <f t="shared" si="13"/>
        <v>5.1342465753424662</v>
      </c>
      <c r="AG20" s="163">
        <f t="shared" si="13"/>
        <v>4.1342465753424662</v>
      </c>
      <c r="AH20" s="163">
        <f t="shared" si="13"/>
        <v>3.1342465753424662</v>
      </c>
      <c r="AI20" s="163">
        <f t="shared" si="13"/>
        <v>2.1342465753424662</v>
      </c>
      <c r="AJ20" s="163">
        <f t="shared" si="13"/>
        <v>1.1342465753424662</v>
      </c>
      <c r="AK20" s="163">
        <f t="shared" si="13"/>
        <v>0.1342465753424662</v>
      </c>
      <c r="AL20" s="160"/>
      <c r="AM20" s="161"/>
      <c r="AN20" s="129"/>
      <c r="AO20" s="129"/>
      <c r="AP20" s="129"/>
      <c r="BU20" s="4"/>
    </row>
    <row r="21" spans="1:77" s="128" customFormat="1" x14ac:dyDescent="0.3">
      <c r="A21" s="130"/>
      <c r="B21" s="130"/>
      <c r="C21" s="130"/>
      <c r="D21" s="130"/>
      <c r="E21" s="130"/>
      <c r="F21" s="131"/>
      <c r="G21" s="131"/>
      <c r="J21" s="129"/>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BU21" s="4"/>
    </row>
    <row r="22" spans="1:77" s="128" customFormat="1" x14ac:dyDescent="0.3">
      <c r="A22" s="130"/>
      <c r="B22" s="130"/>
      <c r="C22" s="130"/>
      <c r="D22" s="130"/>
      <c r="E22" s="130"/>
      <c r="F22" s="131"/>
      <c r="G22" s="131"/>
      <c r="J22" s="129"/>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BU22" s="4"/>
    </row>
    <row r="23" spans="1:77" s="128" customFormat="1" x14ac:dyDescent="0.3">
      <c r="A23" s="123"/>
      <c r="B23" s="124"/>
      <c r="C23" s="125"/>
      <c r="D23" s="125"/>
      <c r="E23" s="126"/>
      <c r="F23" s="127"/>
      <c r="G23" s="127"/>
      <c r="J23" s="129"/>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BU23" s="4"/>
    </row>
    <row r="24" spans="1:77" x14ac:dyDescent="0.3">
      <c r="AP24" s="2"/>
      <c r="AQ24" s="4"/>
      <c r="AR24" s="4"/>
      <c r="AS24" s="4"/>
      <c r="AT24" s="4"/>
      <c r="AU24" s="4"/>
      <c r="AV24" s="5"/>
      <c r="AW24" s="5"/>
      <c r="AX24" s="5"/>
      <c r="AY24" s="5"/>
      <c r="AZ24" s="5"/>
      <c r="BA24" s="5"/>
      <c r="BB24" s="5"/>
      <c r="BC24" s="5"/>
      <c r="BD24" s="5"/>
      <c r="BE24" s="5"/>
      <c r="BF24" s="5"/>
      <c r="BG24" s="5"/>
      <c r="BH24" s="5"/>
      <c r="BI24" s="5"/>
      <c r="BJ24" s="5"/>
    </row>
    <row r="25" spans="1:77" x14ac:dyDescent="0.3">
      <c r="AP25" s="2"/>
      <c r="AQ25" s="4"/>
      <c r="AR25" s="4"/>
      <c r="AS25" s="4"/>
      <c r="AT25" s="4"/>
      <c r="AU25" s="4"/>
      <c r="AV25" s="5"/>
      <c r="AW25" s="5"/>
      <c r="AX25" s="5"/>
      <c r="AY25" s="5"/>
      <c r="AZ25" s="5"/>
      <c r="BA25" s="5"/>
      <c r="BB25" s="5"/>
      <c r="BC25" s="5"/>
      <c r="BD25" s="5"/>
      <c r="BE25" s="5"/>
      <c r="BF25" s="5"/>
      <c r="BG25" s="5"/>
      <c r="BH25" s="5"/>
      <c r="BI25" s="5"/>
      <c r="BJ25" s="5"/>
    </row>
    <row r="26" spans="1:77" x14ac:dyDescent="0.3">
      <c r="A26" s="164" t="s">
        <v>5</v>
      </c>
      <c r="B26" s="165"/>
      <c r="C26" s="165"/>
      <c r="D26" s="166"/>
      <c r="AP26" s="2"/>
      <c r="AQ26" s="4"/>
      <c r="AR26" s="4"/>
      <c r="AS26" s="4"/>
      <c r="AT26" s="4"/>
      <c r="AU26" s="4"/>
      <c r="AV26" s="5"/>
      <c r="AW26" s="5"/>
      <c r="AX26" s="5"/>
      <c r="AY26" s="5"/>
      <c r="AZ26" s="5"/>
      <c r="BA26" s="5"/>
      <c r="BB26" s="5"/>
      <c r="BC26" s="5"/>
      <c r="BD26" s="5"/>
      <c r="BE26" s="5"/>
      <c r="BF26" s="5"/>
      <c r="BG26" s="5"/>
      <c r="BH26" s="5"/>
      <c r="BI26" s="5"/>
      <c r="BJ26" s="5"/>
      <c r="BV26" s="20"/>
      <c r="BW26" s="20"/>
      <c r="BX26" s="20"/>
      <c r="BY26" s="20"/>
    </row>
    <row r="27" spans="1:77" x14ac:dyDescent="0.3">
      <c r="A27" s="46" t="s">
        <v>21</v>
      </c>
      <c r="B27" s="46" t="s">
        <v>22</v>
      </c>
      <c r="C27" s="46" t="s">
        <v>23</v>
      </c>
      <c r="D27" s="46" t="s">
        <v>24</v>
      </c>
      <c r="AP27" s="2"/>
      <c r="AQ27" s="4"/>
      <c r="AR27" s="4"/>
      <c r="AS27" s="4"/>
      <c r="AT27" s="4"/>
      <c r="AU27" s="4"/>
      <c r="AV27" s="5"/>
      <c r="AW27" s="5"/>
      <c r="AX27" s="5"/>
      <c r="AY27" s="5"/>
      <c r="AZ27" s="5"/>
      <c r="BA27" s="5"/>
      <c r="BB27" s="5"/>
      <c r="BC27" s="5"/>
      <c r="BD27" s="5"/>
      <c r="BE27" s="5"/>
      <c r="BF27" s="5"/>
      <c r="BG27" s="5"/>
      <c r="BH27" s="5"/>
      <c r="BI27" s="5"/>
      <c r="BJ27" s="5"/>
      <c r="BV27" s="20"/>
      <c r="BW27" s="20"/>
      <c r="BX27" s="20"/>
      <c r="BY27" s="20"/>
    </row>
    <row r="28" spans="1:77" x14ac:dyDescent="0.3">
      <c r="A28" s="15">
        <v>2.7320719653406935</v>
      </c>
      <c r="B28" s="15">
        <v>4.5187398919746435E-2</v>
      </c>
      <c r="C28" s="15">
        <v>-3.8470578602035739E-2</v>
      </c>
      <c r="D28" s="15">
        <v>-3.3960289294976916E-2</v>
      </c>
      <c r="AP28" s="2"/>
      <c r="AQ28" s="4"/>
      <c r="AR28" s="4"/>
      <c r="AS28" s="4"/>
      <c r="AT28" s="4"/>
      <c r="AU28" s="4"/>
      <c r="AV28" s="5"/>
      <c r="AW28" s="5"/>
      <c r="AX28" s="5"/>
      <c r="AY28" s="5"/>
      <c r="AZ28" s="5"/>
      <c r="BA28" s="5"/>
      <c r="BB28" s="5"/>
      <c r="BC28" s="5"/>
      <c r="BD28" s="5"/>
      <c r="BE28" s="5"/>
      <c r="BF28" s="5"/>
      <c r="BG28" s="5"/>
      <c r="BH28" s="5"/>
      <c r="BI28" s="5"/>
      <c r="BJ28" s="5"/>
      <c r="BV28" s="20"/>
      <c r="BW28" s="20"/>
      <c r="BX28" s="20"/>
      <c r="BY28" s="20"/>
    </row>
    <row r="29" spans="1:77" x14ac:dyDescent="0.3">
      <c r="AP29" s="2"/>
      <c r="AQ29" s="4"/>
      <c r="AR29" s="4"/>
      <c r="AS29" s="4"/>
      <c r="AT29" s="4"/>
      <c r="AU29" s="4"/>
      <c r="AV29" s="5"/>
      <c r="AW29" s="5"/>
      <c r="AX29" s="5"/>
      <c r="AY29" s="5"/>
      <c r="AZ29" s="5"/>
      <c r="BA29" s="5"/>
      <c r="BB29" s="5"/>
      <c r="BC29" s="5"/>
      <c r="BD29" s="5"/>
      <c r="BE29" s="5"/>
      <c r="BF29" s="5"/>
      <c r="BG29" s="5"/>
      <c r="BH29" s="5"/>
      <c r="BI29" s="5"/>
      <c r="BJ29" s="5"/>
      <c r="BV29" s="20"/>
      <c r="BW29" s="20"/>
      <c r="BX29" s="20"/>
      <c r="BY29" s="20"/>
    </row>
    <row r="30" spans="1:77" ht="15" thickBot="1" x14ac:dyDescent="0.35">
      <c r="AP30" s="2"/>
      <c r="AQ30" s="4"/>
      <c r="AR30" s="4"/>
      <c r="AS30" s="4"/>
      <c r="AT30" s="4"/>
      <c r="AU30" s="4"/>
      <c r="AV30" s="5"/>
      <c r="AW30" s="5"/>
      <c r="AX30" s="5"/>
      <c r="AY30" s="5"/>
      <c r="AZ30" s="5"/>
      <c r="BA30" s="5"/>
      <c r="BB30" s="5"/>
      <c r="BC30" s="5"/>
      <c r="BD30" s="5"/>
      <c r="BE30" s="5"/>
      <c r="BF30" s="5"/>
      <c r="BG30" s="5"/>
      <c r="BH30" s="5"/>
      <c r="BI30" s="5"/>
      <c r="BJ30" s="5"/>
      <c r="BV30" s="20"/>
      <c r="BW30" s="20"/>
      <c r="BX30" s="20"/>
      <c r="BY30" s="20"/>
    </row>
    <row r="31" spans="1:77" ht="43.8" thickBot="1" x14ac:dyDescent="0.35">
      <c r="A31" s="43" t="s">
        <v>6</v>
      </c>
      <c r="B31" s="44" t="s">
        <v>7</v>
      </c>
      <c r="C31" s="44" t="s">
        <v>7</v>
      </c>
      <c r="D31" s="44" t="s">
        <v>7</v>
      </c>
      <c r="E31" s="44" t="s">
        <v>7</v>
      </c>
      <c r="F31" s="44" t="s">
        <v>7</v>
      </c>
      <c r="G31" s="44" t="s">
        <v>7</v>
      </c>
      <c r="H31" s="44" t="s">
        <v>7</v>
      </c>
      <c r="I31" s="44" t="s">
        <v>7</v>
      </c>
      <c r="J31" s="44" t="s">
        <v>7</v>
      </c>
      <c r="K31" s="44" t="s">
        <v>7</v>
      </c>
      <c r="L31" s="44" t="s">
        <v>7</v>
      </c>
      <c r="M31" s="44" t="s">
        <v>7</v>
      </c>
      <c r="N31" s="44" t="s">
        <v>7</v>
      </c>
      <c r="O31" s="44" t="s">
        <v>7</v>
      </c>
      <c r="P31" s="44" t="s">
        <v>7</v>
      </c>
      <c r="Q31" s="44" t="s">
        <v>7</v>
      </c>
      <c r="R31" s="44" t="s">
        <v>7</v>
      </c>
      <c r="S31" s="44" t="s">
        <v>7</v>
      </c>
      <c r="T31" s="44" t="s">
        <v>7</v>
      </c>
      <c r="U31" s="44" t="s">
        <v>7</v>
      </c>
      <c r="V31" s="44" t="s">
        <v>7</v>
      </c>
      <c r="W31" s="44" t="s">
        <v>7</v>
      </c>
      <c r="X31" s="44" t="s">
        <v>7</v>
      </c>
      <c r="Y31" s="44" t="s">
        <v>7</v>
      </c>
      <c r="Z31" s="44" t="s">
        <v>7</v>
      </c>
      <c r="AA31" s="44" t="s">
        <v>7</v>
      </c>
      <c r="AB31" s="44" t="s">
        <v>7</v>
      </c>
      <c r="AC31" s="44" t="s">
        <v>7</v>
      </c>
      <c r="AD31" s="44" t="s">
        <v>7</v>
      </c>
      <c r="AE31" s="45" t="s">
        <v>7</v>
      </c>
      <c r="AP31" s="2"/>
      <c r="AQ31" s="4"/>
      <c r="AR31" s="4"/>
      <c r="AS31" s="4"/>
      <c r="AT31" s="4"/>
      <c r="AU31" s="4"/>
      <c r="AV31" s="5"/>
      <c r="AW31" s="5"/>
      <c r="AX31" s="5"/>
      <c r="AY31" s="5"/>
      <c r="AZ31" s="5"/>
      <c r="BA31" s="5"/>
      <c r="BB31" s="5"/>
      <c r="BC31" s="5"/>
      <c r="BD31" s="5"/>
      <c r="BE31" s="5"/>
      <c r="BF31" s="5"/>
      <c r="BG31" s="5"/>
      <c r="BH31" s="5"/>
      <c r="BI31" s="5"/>
      <c r="BJ31" s="5"/>
    </row>
    <row r="32" spans="1:77" x14ac:dyDescent="0.3">
      <c r="A32" s="32">
        <f>(100+100*B5)*EXP(-J5*B32)</f>
        <v>104.51907837413206</v>
      </c>
      <c r="B32" s="55">
        <f t="shared" ref="B32:B41" si="14">$B$28+$C$28*((1-EXP(-J5/$A$28))/(J5/$A$28))+$D$28*(((1-EXP(-J5/$A$28))/(J5/$A$28))-EXP(-J5/$A$28))</f>
        <v>7.4471797492460558E-3</v>
      </c>
      <c r="C32" s="39"/>
      <c r="D32" s="40"/>
      <c r="E32" s="40"/>
      <c r="F32" s="40"/>
      <c r="G32" s="40"/>
      <c r="H32" s="40"/>
      <c r="I32" s="40"/>
      <c r="J32" s="40"/>
      <c r="K32" s="40"/>
      <c r="L32" s="40"/>
      <c r="M32" s="40"/>
      <c r="N32" s="40"/>
      <c r="O32" s="40"/>
      <c r="P32" s="40"/>
      <c r="Q32" s="40"/>
      <c r="R32" s="40"/>
      <c r="S32" s="40"/>
      <c r="T32" s="40"/>
      <c r="U32" s="40"/>
      <c r="V32" s="41"/>
      <c r="W32" s="41"/>
      <c r="X32" s="41"/>
      <c r="Y32" s="41"/>
      <c r="Z32" s="41"/>
      <c r="AA32" s="41"/>
      <c r="AB32" s="41"/>
      <c r="AC32" s="41"/>
      <c r="AD32" s="41"/>
      <c r="AE32" s="42"/>
      <c r="AP32" s="2"/>
      <c r="AQ32" s="4"/>
      <c r="AR32" s="4"/>
      <c r="AS32" s="4"/>
      <c r="AT32" s="4"/>
      <c r="AU32" s="4"/>
      <c r="AV32" s="5"/>
      <c r="AW32" s="5"/>
      <c r="AX32" s="5"/>
      <c r="AY32" s="5"/>
      <c r="AZ32" s="5"/>
      <c r="BA32" s="5"/>
      <c r="BB32" s="5"/>
      <c r="BC32" s="5"/>
      <c r="BD32" s="5"/>
      <c r="BE32" s="5"/>
      <c r="BF32" s="5"/>
      <c r="BG32" s="5"/>
      <c r="BH32" s="5"/>
      <c r="BI32" s="5"/>
      <c r="BJ32" s="5"/>
    </row>
    <row r="33" spans="1:62" x14ac:dyDescent="0.3">
      <c r="A33" s="30">
        <f>(100*B6)*EXP(-L6*D33)+(100*B6)*EXP(-K6*C33)+(100+100*B6)*EXP(-J6*B33)</f>
        <v>109.68739028321669</v>
      </c>
      <c r="B33" s="56">
        <f t="shared" si="14"/>
        <v>1.0431896547456141E-2</v>
      </c>
      <c r="C33" s="56">
        <f t="shared" ref="C33:C41" si="15">$B$28+$C$28*((1-EXP(-K6/$A$28))/(K6/$A$28))+$D$28*(((1-EXP(-K6/$A$28))/(K6/$A$28))-EXP(-K6/$A$28))</f>
        <v>8.3009772353046032E-3</v>
      </c>
      <c r="D33" s="56">
        <f t="shared" ref="D33:D41" si="16">$B$28+$C$28*((1-EXP(-L6/$A$28))/(L6/$A$28))+$D$28*(((1-EXP(-L6/$A$28))/(L6/$A$28))-EXP(-L6/$A$28))</f>
        <v>6.8229805819298266E-3</v>
      </c>
      <c r="E33" s="8"/>
      <c r="F33" s="8"/>
      <c r="G33" s="8"/>
      <c r="H33" s="9"/>
      <c r="I33" s="9"/>
      <c r="J33" s="9"/>
      <c r="K33" s="9"/>
      <c r="L33" s="7"/>
      <c r="M33" s="7"/>
      <c r="N33" s="7"/>
      <c r="O33" s="7"/>
      <c r="P33" s="7"/>
      <c r="Q33" s="7"/>
      <c r="R33" s="7"/>
      <c r="S33" s="7"/>
      <c r="T33" s="7"/>
      <c r="U33" s="7"/>
      <c r="V33" s="6"/>
      <c r="W33" s="6"/>
      <c r="X33" s="6"/>
      <c r="Y33" s="6"/>
      <c r="Z33" s="6"/>
      <c r="AA33" s="6"/>
      <c r="AB33" s="6"/>
      <c r="AC33" s="6"/>
      <c r="AD33" s="6"/>
      <c r="AE33" s="38"/>
      <c r="AP33" s="2"/>
      <c r="AQ33" s="4"/>
      <c r="AR33" s="4"/>
      <c r="AS33" s="4"/>
      <c r="AT33" s="4"/>
      <c r="AU33" s="4"/>
      <c r="AV33" s="5"/>
      <c r="AW33" s="5"/>
      <c r="AX33" s="5"/>
      <c r="AY33" s="5"/>
      <c r="AZ33" s="5"/>
      <c r="BA33" s="5"/>
      <c r="BB33" s="5"/>
      <c r="BC33" s="5"/>
      <c r="BD33" s="5"/>
      <c r="BE33" s="5"/>
      <c r="BF33" s="5"/>
      <c r="BG33" s="5"/>
      <c r="BH33" s="5"/>
      <c r="BI33" s="5"/>
      <c r="BJ33" s="5"/>
    </row>
    <row r="34" spans="1:62" x14ac:dyDescent="0.3">
      <c r="A34" s="30">
        <f>(100*B7)*EXP(-N7*F34)+(100*B7)*EXP(-M7*E34)+(100*B7)*EXP(-L7*D34)+(100*B7)*EXP(-K7*C34)+(100+100*B7)*EXP(-J7*B34)</f>
        <v>108.49752072598139</v>
      </c>
      <c r="B34" s="56">
        <f t="shared" si="14"/>
        <v>1.5300042529141897E-2</v>
      </c>
      <c r="C34" s="56">
        <f t="shared" si="15"/>
        <v>1.2840663202367054E-2</v>
      </c>
      <c r="D34" s="56">
        <f t="shared" si="16"/>
        <v>1.0431896547456141E-2</v>
      </c>
      <c r="E34" s="56">
        <f t="shared" ref="E34:F41" si="17">$B$28+$C$28*((1-EXP(-M7/$A$28))/(M7/$A$28))+$D$28*(((1-EXP(-M7/$A$28))/(M7/$A$28))-EXP(-M7/$A$28))</f>
        <v>8.3009772353046032E-3</v>
      </c>
      <c r="F34" s="56">
        <f t="shared" si="17"/>
        <v>6.8229805819298266E-3</v>
      </c>
      <c r="G34" s="8"/>
      <c r="H34" s="8"/>
      <c r="I34" s="8"/>
      <c r="J34" s="8"/>
      <c r="K34" s="8"/>
      <c r="L34" s="7"/>
      <c r="M34" s="7"/>
      <c r="N34" s="7"/>
      <c r="O34" s="7"/>
      <c r="P34" s="7"/>
      <c r="Q34" s="7"/>
      <c r="R34" s="7"/>
      <c r="S34" s="7"/>
      <c r="T34" s="7"/>
      <c r="U34" s="7"/>
      <c r="V34" s="6"/>
      <c r="W34" s="6"/>
      <c r="X34" s="6"/>
      <c r="Y34" s="6"/>
      <c r="Z34" s="6"/>
      <c r="AA34" s="6"/>
      <c r="AB34" s="6"/>
      <c r="AC34" s="6"/>
      <c r="AD34" s="6"/>
      <c r="AE34" s="38"/>
      <c r="AP34" s="2"/>
      <c r="AQ34" s="4"/>
      <c r="AR34" s="4"/>
      <c r="AS34" s="4"/>
      <c r="AT34" s="4"/>
      <c r="AU34" s="4"/>
      <c r="AV34" s="5"/>
      <c r="AW34" s="5"/>
      <c r="AX34" s="5"/>
      <c r="AY34" s="5"/>
      <c r="AZ34" s="5"/>
      <c r="BA34" s="5"/>
      <c r="BB34" s="5"/>
      <c r="BC34" s="5"/>
      <c r="BD34" s="5"/>
      <c r="BE34" s="5"/>
      <c r="BF34" s="5"/>
      <c r="BG34" s="5"/>
      <c r="BH34" s="5"/>
      <c r="BI34" s="5"/>
      <c r="BJ34" s="5"/>
    </row>
    <row r="35" spans="1:62" x14ac:dyDescent="0.3">
      <c r="A35" s="30">
        <f>(100*B8)*EXP(-P8*H35)+(100*B8)*EXP(-O8*G35)+(100*B8)*EXP(-N8*F35)+(100*B8)*EXP(-M8*E35)+(100*B8)*EXP(-L8*D35)+(100*B8)*EXP(-K8*C35)+(100+100*B8)*EXP(-J8*B35)</f>
        <v>113.43910510598097</v>
      </c>
      <c r="B35" s="56">
        <f t="shared" si="14"/>
        <v>2.0953987901920865E-2</v>
      </c>
      <c r="C35" s="56">
        <f t="shared" si="15"/>
        <v>1.8816715836229722E-2</v>
      </c>
      <c r="D35" s="56">
        <f t="shared" si="16"/>
        <v>1.6508170389323493E-2</v>
      </c>
      <c r="E35" s="56">
        <f t="shared" si="17"/>
        <v>1.4077391241932788E-2</v>
      </c>
      <c r="F35" s="56">
        <f t="shared" si="17"/>
        <v>1.1621815088219722E-2</v>
      </c>
      <c r="G35" s="56">
        <f t="shared" ref="G35:H41" si="18">$B$28+$C$28*((1-EXP(-O8/$A$28))/(O8/$A$28))+$D$28*(((1-EXP(-O8/$A$28))/(O8/$A$28))-EXP(-O8/$A$28))</f>
        <v>9.3154320768445639E-3</v>
      </c>
      <c r="H35" s="56">
        <f t="shared" si="18"/>
        <v>7.4512961966991982E-3</v>
      </c>
      <c r="I35" s="8"/>
      <c r="J35" s="8"/>
      <c r="K35" s="8"/>
      <c r="L35" s="8"/>
      <c r="M35" s="8"/>
      <c r="N35" s="8"/>
      <c r="O35" s="8"/>
      <c r="P35" s="8"/>
      <c r="Q35" s="8"/>
      <c r="R35" s="8"/>
      <c r="S35" s="8"/>
      <c r="T35" s="8"/>
      <c r="U35" s="8"/>
      <c r="V35" s="6"/>
      <c r="W35" s="6"/>
      <c r="X35" s="6"/>
      <c r="Y35" s="6"/>
      <c r="Z35" s="6"/>
      <c r="AA35" s="6"/>
      <c r="AB35" s="6"/>
      <c r="AC35" s="6"/>
      <c r="AD35" s="6"/>
      <c r="AE35" s="38"/>
      <c r="AP35" s="2"/>
      <c r="AQ35" s="4"/>
      <c r="AR35" s="4"/>
      <c r="AS35" s="4"/>
      <c r="AT35" s="4"/>
      <c r="AU35" s="4"/>
      <c r="AV35" s="5"/>
      <c r="AW35" s="5"/>
      <c r="AX35" s="5"/>
      <c r="AY35" s="5"/>
      <c r="AZ35" s="5"/>
      <c r="BA35" s="5"/>
      <c r="BB35" s="5"/>
      <c r="BC35" s="5"/>
      <c r="BD35" s="5"/>
      <c r="BE35" s="5"/>
      <c r="BF35" s="5"/>
      <c r="BG35" s="5"/>
      <c r="BH35" s="5"/>
      <c r="BI35" s="5"/>
      <c r="BJ35" s="5"/>
    </row>
    <row r="36" spans="1:62" x14ac:dyDescent="0.3">
      <c r="A36" s="30">
        <f>(100*B9)*EXP(-R9*J36)+(100*B9)*EXP(-Q9*I36)+(100*B9)*EXP(-P9*H36)+(100*B9)*EXP(-O9*G36)+(100*B9)*EXP(-N9*F36)+(100*B9)*EXP(-M9*E36)+(100*B9)*EXP(-L9*D36)+(100*B9)*EXP(-K9*C36)+(100+100*B9)*EXP(-J9*B36)</f>
        <v>113.71982735801609</v>
      </c>
      <c r="B36" s="56">
        <f t="shared" si="14"/>
        <v>2.3804382652636326E-2</v>
      </c>
      <c r="C36" s="56">
        <f t="shared" si="15"/>
        <v>2.1954274147359683E-2</v>
      </c>
      <c r="D36" s="56">
        <f t="shared" si="16"/>
        <v>1.9911420513670369E-2</v>
      </c>
      <c r="E36" s="56">
        <f t="shared" si="17"/>
        <v>1.7684831644241207E-2</v>
      </c>
      <c r="F36" s="56">
        <f t="shared" si="17"/>
        <v>1.5306712968039499E-2</v>
      </c>
      <c r="G36" s="56">
        <f t="shared" si="18"/>
        <v>1.2847410136982701E-2</v>
      </c>
      <c r="H36" s="56">
        <f t="shared" si="18"/>
        <v>1.0438248058181663E-2</v>
      </c>
      <c r="I36" s="56">
        <f t="shared" ref="I36:J41" si="19">$B$28+$C$28*((1-EXP(-Q9/$A$28))/(Q9/$A$28))+$D$28*(((1-EXP(-Q9/$A$28))/(Q9/$A$28))-EXP(-Q9/$A$28))</f>
        <v>8.306137588494052E-3</v>
      </c>
      <c r="J36" s="56">
        <f t="shared" si="19"/>
        <v>6.8256566068585966E-3</v>
      </c>
      <c r="K36" s="8"/>
      <c r="L36" s="8"/>
      <c r="M36" s="8"/>
      <c r="N36" s="8"/>
      <c r="O36" s="8"/>
      <c r="P36" s="8"/>
      <c r="Q36" s="8"/>
      <c r="R36" s="8"/>
      <c r="S36" s="8"/>
      <c r="T36" s="8"/>
      <c r="U36" s="8"/>
      <c r="V36" s="6"/>
      <c r="W36" s="6"/>
      <c r="X36" s="6"/>
      <c r="Y36" s="6"/>
      <c r="Z36" s="6"/>
      <c r="AA36" s="6"/>
      <c r="AB36" s="6"/>
      <c r="AC36" s="6"/>
      <c r="AD36" s="6"/>
      <c r="AE36" s="38"/>
      <c r="AP36" s="2"/>
      <c r="AQ36" s="4"/>
      <c r="AR36" s="4"/>
      <c r="AS36" s="4"/>
      <c r="AT36" s="4"/>
      <c r="AU36" s="4"/>
      <c r="AV36" s="5"/>
      <c r="AW36" s="5"/>
      <c r="AX36" s="5"/>
      <c r="AY36" s="5"/>
      <c r="AZ36" s="5"/>
      <c r="BA36" s="5"/>
      <c r="BB36" s="5"/>
      <c r="BC36" s="5"/>
      <c r="BD36" s="5"/>
      <c r="BE36" s="5"/>
      <c r="BF36" s="5"/>
      <c r="BG36" s="5"/>
      <c r="BH36" s="5"/>
      <c r="BI36" s="5"/>
      <c r="BJ36" s="5"/>
    </row>
    <row r="37" spans="1:62" x14ac:dyDescent="0.3">
      <c r="A37" s="30">
        <f>(100*B10)*EXP(-T10*L37)+(100*B10)*EXP(-S10*K37)+(100*B10)*EXP(-R10*J37)+(100*B10)*EXP(-Q10*I37)+(100*B10)*EXP(-P10*H37)+(100*B10)*EXP(-O10*G37)+(100*B10)*EXP(-N10*F37)+(100*B10)*EXP(-M10*E37)+(100*B10)*EXP(-L10*D37)+(100*B10)*EXP(-K10*C37)+(100+100*B10)*EXP(-J10*B37)</f>
        <v>108.29053526530249</v>
      </c>
      <c r="B37" s="56">
        <f t="shared" si="14"/>
        <v>2.6955606462762828E-2</v>
      </c>
      <c r="C37" s="56">
        <f t="shared" si="15"/>
        <v>2.5470563008970222E-2</v>
      </c>
      <c r="D37" s="56">
        <f t="shared" si="16"/>
        <v>2.3809188703578996E-2</v>
      </c>
      <c r="E37" s="56">
        <f t="shared" si="17"/>
        <v>2.195960657600507E-2</v>
      </c>
      <c r="F37" s="56">
        <f t="shared" si="17"/>
        <v>1.9917276695747846E-2</v>
      </c>
      <c r="G37" s="56">
        <f t="shared" si="18"/>
        <v>1.7691160632029992E-2</v>
      </c>
      <c r="H37" s="56">
        <f t="shared" si="18"/>
        <v>1.5313382760375535E-2</v>
      </c>
      <c r="I37" s="56">
        <f t="shared" si="19"/>
        <v>1.2854157389592747E-2</v>
      </c>
      <c r="J37" s="56">
        <f t="shared" si="19"/>
        <v>1.0444601558223528E-2</v>
      </c>
      <c r="K37" s="56">
        <f t="shared" ref="K37:L41" si="20">$B$28+$C$28*((1-EXP(-S10/$A$28))/(S10/$A$28))+$D$28*(((1-EXP(-S10/$A$28))/(S10/$A$28))-EXP(-S10/$A$28))</f>
        <v>8.3113026948662648E-3</v>
      </c>
      <c r="L37" s="56">
        <f t="shared" si="20"/>
        <v>6.8283418188962398E-3</v>
      </c>
      <c r="M37" s="8"/>
      <c r="N37" s="8"/>
      <c r="O37" s="8"/>
      <c r="P37" s="8"/>
      <c r="Q37" s="8"/>
      <c r="R37" s="8"/>
      <c r="S37" s="8"/>
      <c r="T37" s="8"/>
      <c r="U37" s="8"/>
      <c r="V37" s="6"/>
      <c r="W37" s="6"/>
      <c r="X37" s="6"/>
      <c r="Y37" s="6"/>
      <c r="Z37" s="6"/>
      <c r="AA37" s="6"/>
      <c r="AB37" s="6"/>
      <c r="AC37" s="6"/>
      <c r="AD37" s="6"/>
      <c r="AE37" s="38"/>
      <c r="AP37" s="2"/>
      <c r="AQ37" s="4"/>
      <c r="AR37" s="4"/>
      <c r="AS37" s="4"/>
      <c r="AT37" s="4"/>
      <c r="AU37" s="4"/>
      <c r="AV37" s="5"/>
      <c r="AW37" s="5"/>
      <c r="AX37" s="5"/>
      <c r="AY37" s="5"/>
      <c r="AZ37" s="5"/>
      <c r="BA37" s="5"/>
      <c r="BB37" s="5"/>
      <c r="BC37" s="5"/>
      <c r="BD37" s="5"/>
      <c r="BE37" s="5"/>
      <c r="BF37" s="5"/>
      <c r="BG37" s="5"/>
      <c r="BH37" s="5"/>
      <c r="BI37" s="5"/>
      <c r="BJ37" s="5"/>
    </row>
    <row r="38" spans="1:62" x14ac:dyDescent="0.3">
      <c r="A38" s="30">
        <f>(100*B11)*EXP(-U11*M38)+(100*B11)*EXP(-T11*L38)+(100*B11)*EXP(-S11*K38)+(100*B11)*EXP(-R11*J38)+(100*B11)*EXP(-Q11*I38)+(100*B11)*EXP(-P11*H38)+(100*B11)*EXP(-O11*G38)+(100*B11)*EXP(-N11*F38)+(100*B11)*EXP(-M11*E38)+(100*B11)*EXP(-L11*D38)+(100*B11)*EXP(-K11*C38)+(100+100*B11)*EXP(-J11*B38)</f>
        <v>160.58748733330617</v>
      </c>
      <c r="B38" s="56">
        <f t="shared" si="14"/>
        <v>2.8884878369692023E-2</v>
      </c>
      <c r="C38" s="56">
        <f t="shared" si="15"/>
        <v>2.7634925889402043E-2</v>
      </c>
      <c r="D38" s="56">
        <f t="shared" si="16"/>
        <v>2.6232180940798336E-2</v>
      </c>
      <c r="E38" s="56">
        <f t="shared" si="17"/>
        <v>2.466050197437495E-2</v>
      </c>
      <c r="F38" s="56">
        <f t="shared" si="17"/>
        <v>2.2905904341363491E-2</v>
      </c>
      <c r="G38" s="56">
        <f t="shared" si="18"/>
        <v>2.0959585668783864E-2</v>
      </c>
      <c r="H38" s="56">
        <f t="shared" si="18"/>
        <v>1.8822819569059554E-2</v>
      </c>
      <c r="I38" s="56">
        <f t="shared" si="19"/>
        <v>1.651469352713273E-2</v>
      </c>
      <c r="J38" s="56">
        <f t="shared" si="19"/>
        <v>1.4084143615428407E-2</v>
      </c>
      <c r="K38" s="56">
        <f t="shared" si="20"/>
        <v>1.1628440781940917E-2</v>
      </c>
      <c r="L38" s="56">
        <f t="shared" si="20"/>
        <v>9.3213152570529451E-3</v>
      </c>
      <c r="M38" s="56">
        <f>$B$28+$C$28*((1-EXP(-U11/$A$28))/(U11/$A$28))+$D$28*(((1-EXP(-U11/$A$28))/(U11/$A$28))-EXP(-U11/$A$28))</f>
        <v>7.4554193657373679E-3</v>
      </c>
      <c r="N38" s="8"/>
      <c r="O38" s="8"/>
      <c r="P38" s="8"/>
      <c r="Q38" s="8"/>
      <c r="R38" s="8"/>
      <c r="S38" s="8"/>
      <c r="T38" s="8"/>
      <c r="U38" s="8"/>
      <c r="V38" s="6"/>
      <c r="W38" s="6"/>
      <c r="X38" s="6"/>
      <c r="Y38" s="6"/>
      <c r="Z38" s="6"/>
      <c r="AA38" s="6"/>
      <c r="AB38" s="6"/>
      <c r="AC38" s="6"/>
      <c r="AD38" s="6"/>
      <c r="AE38" s="38"/>
      <c r="AP38" s="2"/>
      <c r="AQ38" s="4"/>
      <c r="AR38" s="4"/>
      <c r="AS38" s="4"/>
      <c r="AT38" s="4"/>
      <c r="AU38" s="4"/>
      <c r="AV38" s="5"/>
      <c r="AW38" s="5"/>
      <c r="AX38" s="5"/>
      <c r="AY38" s="5"/>
      <c r="AZ38" s="5"/>
      <c r="BA38" s="5"/>
      <c r="BB38" s="5"/>
      <c r="BC38" s="5"/>
      <c r="BD38" s="5"/>
      <c r="BE38" s="5"/>
      <c r="BF38" s="5"/>
      <c r="BG38" s="5"/>
      <c r="BH38" s="5"/>
      <c r="BI38" s="5"/>
      <c r="BJ38" s="5"/>
    </row>
    <row r="39" spans="1:62" x14ac:dyDescent="0.3">
      <c r="A39" s="30">
        <f>(100*B12)*EXP(-AA12*S39)+(100*B12)*EXP(-Z12*R39)+(100*B12)*EXP(-Y12*Q39)+(100*B12)*EXP(-X12*P39)+(100*B12)*EXP(-W12*O39)+(100*B12)*EXP(-V12*N39)+(100*B12)*EXP(-U12*M39)+(100*B12)*EXP(-T12*L39)+(100*B12)*EXP(-S12*K39)+(100*B12)*EXP(-R12*J39)+(100*B12)*EXP(-Q12*I39)+(100*B12)*EXP(-P12*H39)+(100*B12)*EXP(-O12*G39)+(100*B12)*EXP(-N12*F39)+(100*B12)*EXP(-M12*E39)+(100*B12)*EXP(-L12*D39)+(100*B12)*EXP(-K12*C39)+(100+100*B12)*EXP(-J12*B39)</f>
        <v>132.82912728434331</v>
      </c>
      <c r="B39" s="56">
        <f t="shared" si="14"/>
        <v>3.4032605413231415E-2</v>
      </c>
      <c r="C39" s="56">
        <f t="shared" si="15"/>
        <v>3.3390488279145973E-2</v>
      </c>
      <c r="D39" s="56">
        <f t="shared" si="16"/>
        <v>3.2677528954965257E-2</v>
      </c>
      <c r="E39" s="56">
        <f t="shared" si="17"/>
        <v>3.1883519499173299E-2</v>
      </c>
      <c r="F39" s="56">
        <f t="shared" si="17"/>
        <v>3.0996816430815886E-2</v>
      </c>
      <c r="G39" s="56">
        <f t="shared" si="18"/>
        <v>3.0004283330900969E-2</v>
      </c>
      <c r="H39" s="56">
        <f t="shared" si="18"/>
        <v>2.8891337063686351E-2</v>
      </c>
      <c r="I39" s="56">
        <f t="shared" si="19"/>
        <v>2.7642176114757354E-2</v>
      </c>
      <c r="J39" s="56">
        <f t="shared" si="19"/>
        <v>2.624031333198313E-2</v>
      </c>
      <c r="K39" s="56">
        <f t="shared" si="20"/>
        <v>2.4669601211642737E-2</v>
      </c>
      <c r="L39" s="56">
        <f t="shared" si="20"/>
        <v>2.2916036402507209E-2</v>
      </c>
      <c r="M39" s="56">
        <f>$B$28+$C$28*((1-EXP(-U12/$A$28))/(U12/$A$28))+$D$28*(((1-EXP(-U12/$A$28))/(U12/$A$28))-EXP(-U12/$A$28))</f>
        <v>2.0970776881417814E-2</v>
      </c>
      <c r="N39" s="56">
        <f t="shared" ref="N39:S41" si="21">$B$28+$C$28*((1-EXP(-V12/$A$28))/(V12/$A$28))+$D$28*(((1-EXP(-V12/$A$28))/(V12/$A$28))-EXP(-V12/$A$28))</f>
        <v>1.8835023120924606E-2</v>
      </c>
      <c r="O39" s="56">
        <f t="shared" si="21"/>
        <v>1.6527736956238714E-2</v>
      </c>
      <c r="P39" s="56">
        <f t="shared" si="21"/>
        <v>1.4097647653432887E-2</v>
      </c>
      <c r="Q39" s="56">
        <f t="shared" si="21"/>
        <v>1.1641695292594498E-2</v>
      </c>
      <c r="R39" s="56">
        <f t="shared" si="21"/>
        <v>9.3330912106588445E-3</v>
      </c>
      <c r="S39" s="56">
        <f t="shared" si="21"/>
        <v>7.4636858203790454E-3</v>
      </c>
      <c r="T39" s="8"/>
      <c r="U39" s="8"/>
      <c r="V39" s="6"/>
      <c r="W39" s="6"/>
      <c r="X39" s="6"/>
      <c r="Y39" s="6"/>
      <c r="Z39" s="6"/>
      <c r="AA39" s="6"/>
      <c r="AB39" s="6"/>
      <c r="AC39" s="6"/>
      <c r="AD39" s="6"/>
      <c r="AE39" s="38"/>
      <c r="AP39" s="2"/>
      <c r="AQ39" s="4"/>
      <c r="AR39" s="4"/>
      <c r="AS39" s="4"/>
      <c r="AT39" s="4"/>
      <c r="AU39" s="4"/>
      <c r="AV39" s="5"/>
      <c r="AW39" s="5"/>
      <c r="AX39" s="5"/>
      <c r="AY39" s="5"/>
      <c r="AZ39" s="5"/>
      <c r="BA39" s="5"/>
      <c r="BB39" s="5"/>
      <c r="BC39" s="5"/>
      <c r="BD39" s="5"/>
      <c r="BE39" s="5"/>
      <c r="BF39" s="5"/>
      <c r="BG39" s="5"/>
      <c r="BH39" s="5"/>
      <c r="BI39" s="5"/>
      <c r="BJ39" s="5"/>
    </row>
    <row r="40" spans="1:62" x14ac:dyDescent="0.3">
      <c r="A40" s="30">
        <f>(100*B13)*EXP(-AG13*Y40)+(100*B13)*EXP(-AF13*X40)+(100*B13)*EXP(-AE13*W40)+(100*B13)*EXP(-AD13*V40)+(100*B13)*EXP(-AC13*U40)+(100*B13)*EXP(-AB13*T40)+(100*B13)*EXP(-AA13*S40)+(100*B13)*EXP(-Z13*R40)+(100*B13)*EXP(-Y13*Q40)+(100*B13)*EXP(-X13*P40)+(100*B13)*EXP(-W13*O40)+(100*B13)*EXP(-V13*N40)+(100*B13)*EXP(-U13*M40)+(100*B13)*EXP(-T13*L40)+(100*B13)*EXP(-S13*K40)+(100*B13)*EXP(-R13*J40)+(100*B13)*EXP(-Q13*I40)+(100*B13)*EXP(-P13*H40)+(100*B13)*EXP(-O13*G40)+(100*B13)*EXP(-N13*F40)+(100*B13)*EXP(-M13*E40)+(100*B13)*EXP(-L13*D40)+(100*B13)*EXP(-K13*C40)+(100+100*B13)*EXP(-J13*B40)</f>
        <v>122.60313855972427</v>
      </c>
      <c r="B40" s="56">
        <f t="shared" si="14"/>
        <v>3.6820498423268469E-2</v>
      </c>
      <c r="C40" s="56">
        <f t="shared" si="15"/>
        <v>3.6453819859973216E-2</v>
      </c>
      <c r="D40" s="56">
        <f t="shared" si="16"/>
        <v>3.6054469682962054E-2</v>
      </c>
      <c r="E40" s="56">
        <f t="shared" si="17"/>
        <v>3.5618186858683572E-2</v>
      </c>
      <c r="F40" s="56">
        <f t="shared" si="17"/>
        <v>3.5140031951545685E-2</v>
      </c>
      <c r="G40" s="56">
        <f t="shared" si="18"/>
        <v>3.4614275891396901E-2</v>
      </c>
      <c r="H40" s="56">
        <f t="shared" si="18"/>
        <v>3.4034275759461607E-2</v>
      </c>
      <c r="I40" s="56">
        <f t="shared" si="19"/>
        <v>3.3392339935687021E-2</v>
      </c>
      <c r="J40" s="56">
        <f t="shared" si="19"/>
        <v>3.2679588011613483E-2</v>
      </c>
      <c r="K40" s="56">
        <f t="shared" si="20"/>
        <v>3.1885815841926499E-2</v>
      </c>
      <c r="L40" s="56">
        <f t="shared" si="20"/>
        <v>3.0999383990943482E-2</v>
      </c>
      <c r="M40" s="56">
        <f>$B$28+$C$28*((1-EXP(-U13/$A$28))/(U13/$A$28))+$D$28*(((1-EXP(-U13/$A$28))/(U13/$A$28))-EXP(-U13/$A$28))</f>
        <v>3.0007160128776453E-2</v>
      </c>
      <c r="N40" s="56">
        <f t="shared" si="21"/>
        <v>2.8894564877557361E-2</v>
      </c>
      <c r="O40" s="56">
        <f t="shared" si="21"/>
        <v>2.764579950774719E-2</v>
      </c>
      <c r="P40" s="56">
        <f t="shared" si="21"/>
        <v>2.6244377624450647E-2</v>
      </c>
      <c r="Q40" s="56">
        <f t="shared" si="21"/>
        <v>2.4674148766768302E-2</v>
      </c>
      <c r="R40" s="56">
        <f t="shared" si="21"/>
        <v>2.2921100265628533E-2</v>
      </c>
      <c r="S40" s="56">
        <f t="shared" si="21"/>
        <v>2.0976370326869439E-2</v>
      </c>
      <c r="T40" s="56">
        <f t="shared" ref="T40:Y41" si="22">$B$28+$C$28*((1-EXP(-AB13/$A$28))/(AB13/$A$28))+$D$28*(((1-EXP(-AB13/$A$28))/(AB13/$A$28))-EXP(-AB13/$A$28))</f>
        <v>1.884112293871491E-2</v>
      </c>
      <c r="U40" s="56">
        <f t="shared" si="22"/>
        <v>1.6534257244764511E-2</v>
      </c>
      <c r="V40" s="56">
        <f t="shared" si="22"/>
        <v>1.4104399312726478E-2</v>
      </c>
      <c r="W40" s="56">
        <f t="shared" si="22"/>
        <v>1.1648324100474968E-2</v>
      </c>
      <c r="X40" s="56">
        <f t="shared" si="22"/>
        <v>9.3389839690714328E-3</v>
      </c>
      <c r="Y40" s="56">
        <f t="shared" si="22"/>
        <v>7.4678290819259214E-3</v>
      </c>
      <c r="Z40" s="8"/>
      <c r="AA40" s="8"/>
      <c r="AB40" s="6"/>
      <c r="AC40" s="6"/>
      <c r="AD40" s="6"/>
      <c r="AE40" s="38"/>
      <c r="AP40" s="2"/>
      <c r="AQ40" s="4"/>
      <c r="AR40" s="4"/>
      <c r="AS40" s="4"/>
      <c r="AT40" s="4"/>
      <c r="AU40" s="4"/>
      <c r="AV40" s="5"/>
      <c r="AW40" s="5"/>
      <c r="AX40" s="5"/>
      <c r="AY40" s="5"/>
      <c r="AZ40" s="5"/>
      <c r="BA40" s="5"/>
      <c r="BB40" s="5"/>
      <c r="BC40" s="5"/>
      <c r="BD40" s="5"/>
      <c r="BE40" s="5"/>
      <c r="BF40" s="5"/>
      <c r="BG40" s="5"/>
      <c r="BH40" s="5"/>
      <c r="BI40" s="5"/>
      <c r="BJ40" s="5"/>
    </row>
    <row r="41" spans="1:62" ht="15" thickBot="1" x14ac:dyDescent="0.35">
      <c r="A41" s="31">
        <f>(100*B14)*EXP(-AM14*AE41)+(100*B14)*EXP(-AL14*AD41)+(100*B14)*EXP(-AL14*AD41)+(100*B14)*EXP(-AK14*AC41)+(100*B14)*EXP(-AJ14*AB41)+(100*B14)*EXP(-AI14*AA41)+(100*B14)*EXP(-AH14*Z41)+(100*B14)*EXP(-AG14*Y41)+(100*B14)*EXP(-AF14*X41)+(100*B14)*EXP(-AE14*W41)+(100*B14)*EXP(-AD14*V41)+(100*B14)*EXP(-AC14*U41)+(100*B14)*EXP(-AB14*T41)+(100*B14)*EXP(-AA14*S41)+(100*B14)*EXP(-Z14*R41)+(100*B14)*EXP(-Y14*Q41)+(100*B14)*EXP(-X14*P41)+(100*B14)*EXP(-W14*O41)+(100*B14)*EXP(-V14*N41)+(100*B14)*EXP(-U14*M41)+(100*B14)*EXP(-T14*L41)+(100*B14)*EXP(-S14*K41)+(100*B14)*EXP(-R14*J41)+(100*B14)*EXP(-Q14*I41)+(100*B14)*EXP(-P14*H41)+(100*B14)*EXP(-O14*G41)+(100*B14)*EXP(-N14*F41)+(100*B14)*EXP(-M14*E41)+(100*B14)*EXP(-L14*D41)+(100*B14)*EXP(-K14*C41)+(100+100*B14)*EXP(-J14*B41)</f>
        <v>122.50453583499437</v>
      </c>
      <c r="B41" s="57">
        <f t="shared" si="14"/>
        <v>3.8510874691734358E-2</v>
      </c>
      <c r="C41" s="57">
        <f t="shared" si="15"/>
        <v>3.8278048546604757E-2</v>
      </c>
      <c r="D41" s="57">
        <f t="shared" si="16"/>
        <v>3.8028507849321422E-2</v>
      </c>
      <c r="E41" s="57">
        <f t="shared" si="17"/>
        <v>3.7760425016196947E-2</v>
      </c>
      <c r="F41" s="57">
        <f t="shared" si="17"/>
        <v>3.747170934665392E-2</v>
      </c>
      <c r="G41" s="57">
        <f t="shared" si="18"/>
        <v>3.7159962285237984E-2</v>
      </c>
      <c r="H41" s="57">
        <f t="shared" si="18"/>
        <v>3.6822424638010699E-2</v>
      </c>
      <c r="I41" s="57">
        <f t="shared" si="19"/>
        <v>3.645591446963245E-2</v>
      </c>
      <c r="J41" s="57">
        <f t="shared" si="19"/>
        <v>3.6056754352927461E-2</v>
      </c>
      <c r="K41" s="57">
        <f t="shared" si="20"/>
        <v>3.5620686690161558E-2</v>
      </c>
      <c r="L41" s="57">
        <f t="shared" si="20"/>
        <v>3.5142776053751629E-2</v>
      </c>
      <c r="M41" s="57">
        <f>$B$28+$C$28*((1-EXP(-U14/$A$28))/(U14/$A$28))+$D$28*(((1-EXP(-U14/$A$28))/(U14/$A$28))-EXP(-U14/$A$28))</f>
        <v>3.4617298027545776E-2</v>
      </c>
      <c r="N41" s="57">
        <f t="shared" si="21"/>
        <v>3.4037615059637136E-2</v>
      </c>
      <c r="O41" s="57">
        <f t="shared" si="21"/>
        <v>3.3396041656796133E-2</v>
      </c>
      <c r="P41" s="57">
        <f t="shared" si="21"/>
        <v>3.2683704303402235E-2</v>
      </c>
      <c r="Q41" s="57">
        <f t="shared" si="21"/>
        <v>3.1890406443975512E-2</v>
      </c>
      <c r="R41" s="57">
        <f t="shared" si="21"/>
        <v>3.1004516731987519E-2</v>
      </c>
      <c r="S41" s="57">
        <f t="shared" si="21"/>
        <v>3.001291101664454E-2</v>
      </c>
      <c r="T41" s="57">
        <f t="shared" si="22"/>
        <v>2.8901017440725634E-2</v>
      </c>
      <c r="U41" s="57">
        <f t="shared" si="22"/>
        <v>2.7653042856063299E-2</v>
      </c>
      <c r="V41" s="57">
        <f t="shared" si="22"/>
        <v>2.625250240474513E-2</v>
      </c>
      <c r="W41" s="57">
        <f t="shared" si="22"/>
        <v>2.4683239751274781E-2</v>
      </c>
      <c r="X41" s="57">
        <f t="shared" si="22"/>
        <v>2.2931223657519262E-2</v>
      </c>
      <c r="Y41" s="57">
        <f t="shared" si="22"/>
        <v>2.0987552895250935E-2</v>
      </c>
      <c r="Z41" s="57">
        <f t="shared" ref="Z41:AE41" si="23">$B$28+$C$28*((1-EXP(-AH14/$A$28))/(AH14/$A$28))+$D$28*(((1-EXP(-AH14/$A$28))/(AH14/$A$28))-EXP(-AH14/$A$28))</f>
        <v>1.8853318654910925E-2</v>
      </c>
      <c r="AA41" s="57">
        <f t="shared" si="23"/>
        <v>1.6547294962854103E-2</v>
      </c>
      <c r="AB41" s="57">
        <f t="shared" si="23"/>
        <v>1.4117901898889453E-2</v>
      </c>
      <c r="AC41" s="57">
        <f t="shared" si="23"/>
        <v>1.1661584798762234E-2</v>
      </c>
      <c r="AD41" s="57">
        <f t="shared" si="23"/>
        <v>9.3507790117285054E-3</v>
      </c>
      <c r="AE41" s="58">
        <f t="shared" si="23"/>
        <v>7.4761356134438002E-3</v>
      </c>
      <c r="AP41" s="2"/>
      <c r="AQ41" s="4"/>
      <c r="AR41" s="4"/>
      <c r="AS41" s="4"/>
      <c r="AT41" s="4"/>
      <c r="AU41" s="4"/>
      <c r="AV41" s="5"/>
      <c r="AW41" s="5"/>
      <c r="AX41" s="5"/>
      <c r="AY41" s="5"/>
      <c r="AZ41" s="5"/>
      <c r="BA41" s="5"/>
      <c r="BB41" s="5"/>
      <c r="BC41" s="5"/>
      <c r="BD41" s="5"/>
      <c r="BE41" s="5"/>
      <c r="BF41" s="5"/>
      <c r="BG41" s="5"/>
      <c r="BH41" s="5"/>
      <c r="BI41" s="5"/>
      <c r="BJ41" s="5"/>
    </row>
    <row r="42" spans="1:62" x14ac:dyDescent="0.3">
      <c r="AP42" s="2"/>
      <c r="AQ42" s="4"/>
      <c r="AR42" s="4"/>
      <c r="AS42" s="4"/>
      <c r="AT42" s="4"/>
      <c r="AU42" s="4"/>
      <c r="AV42" s="4"/>
      <c r="AW42" s="5"/>
      <c r="AX42" s="5"/>
      <c r="AY42" s="5"/>
      <c r="AZ42" s="5"/>
      <c r="BA42" s="5"/>
      <c r="BB42" s="5"/>
      <c r="BC42" s="5"/>
      <c r="BD42" s="5"/>
      <c r="BE42" s="5"/>
      <c r="BF42" s="5"/>
      <c r="BG42" s="5"/>
      <c r="BH42" s="5"/>
      <c r="BI42" s="5"/>
      <c r="BJ42" s="5"/>
    </row>
    <row r="43" spans="1:62" x14ac:dyDescent="0.3">
      <c r="AP43" s="2"/>
      <c r="AQ43" s="4"/>
      <c r="AR43" s="4"/>
      <c r="AS43" s="4"/>
      <c r="AT43" s="4"/>
      <c r="AU43" s="4"/>
      <c r="AV43" s="4"/>
      <c r="AW43" s="5"/>
      <c r="AX43" s="5"/>
      <c r="AY43" s="5"/>
      <c r="AZ43" s="5"/>
      <c r="BA43" s="5"/>
      <c r="BB43" s="5"/>
      <c r="BC43" s="5"/>
      <c r="BD43" s="5"/>
      <c r="BE43" s="5"/>
      <c r="BF43" s="5"/>
      <c r="BG43" s="5"/>
      <c r="BH43" s="5"/>
      <c r="BI43" s="5"/>
      <c r="BJ43" s="5"/>
    </row>
    <row r="44" spans="1:62" x14ac:dyDescent="0.3">
      <c r="AP44" s="2"/>
      <c r="AQ44" s="4"/>
      <c r="AR44" s="4"/>
      <c r="AS44" s="4"/>
      <c r="AT44" s="4"/>
      <c r="AU44" s="4"/>
      <c r="AV44" s="4"/>
      <c r="AW44" s="5"/>
      <c r="AX44" s="5"/>
      <c r="AY44" s="5"/>
      <c r="AZ44" s="5"/>
      <c r="BA44" s="5"/>
      <c r="BB44" s="5"/>
      <c r="BC44" s="5"/>
      <c r="BD44" s="5"/>
      <c r="BE44" s="5"/>
      <c r="BF44" s="5"/>
      <c r="BG44" s="5"/>
      <c r="BH44" s="5"/>
      <c r="BI44" s="5"/>
      <c r="BJ44" s="5"/>
    </row>
    <row r="45" spans="1:62" x14ac:dyDescent="0.3">
      <c r="AP45" s="2"/>
      <c r="AQ45" s="4"/>
      <c r="AR45" s="4"/>
      <c r="AS45" s="4"/>
      <c r="AT45" s="4"/>
      <c r="AU45" s="4"/>
      <c r="AV45" s="4"/>
      <c r="AW45" s="5"/>
      <c r="AX45" s="5"/>
      <c r="AY45" s="5"/>
      <c r="AZ45" s="5"/>
      <c r="BA45" s="5"/>
      <c r="BB45" s="5"/>
      <c r="BC45" s="5"/>
      <c r="BD45" s="5"/>
      <c r="BE45" s="5"/>
      <c r="BF45" s="5"/>
      <c r="BG45" s="5"/>
      <c r="BH45" s="5"/>
      <c r="BI45" s="5"/>
      <c r="BJ45" s="5"/>
    </row>
    <row r="46" spans="1:62" x14ac:dyDescent="0.3">
      <c r="AP46" s="2"/>
      <c r="AQ46" s="4"/>
      <c r="AR46" s="4"/>
      <c r="AS46" s="4"/>
      <c r="AT46" s="4"/>
      <c r="AU46" s="4"/>
      <c r="AV46" s="4"/>
      <c r="AW46" s="5"/>
      <c r="AX46" s="5"/>
      <c r="AY46" s="5"/>
      <c r="AZ46" s="5"/>
      <c r="BA46" s="5"/>
      <c r="BB46" s="5"/>
      <c r="BC46" s="5"/>
      <c r="BD46" s="5"/>
      <c r="BE46" s="5"/>
      <c r="BF46" s="5"/>
      <c r="BG46" s="5"/>
      <c r="BH46" s="5"/>
      <c r="BI46" s="5"/>
      <c r="BJ46" s="5"/>
    </row>
    <row r="47" spans="1:62" x14ac:dyDescent="0.3">
      <c r="AP47" s="2"/>
      <c r="AQ47" s="4"/>
      <c r="AR47" s="4"/>
      <c r="AS47" s="4"/>
      <c r="AT47" s="4"/>
      <c r="AU47" s="4"/>
      <c r="AV47" s="4"/>
      <c r="AW47" s="5"/>
      <c r="AX47" s="5"/>
      <c r="AY47" s="5"/>
      <c r="AZ47" s="5"/>
      <c r="BA47" s="5"/>
      <c r="BB47" s="5"/>
      <c r="BC47" s="5"/>
      <c r="BD47" s="5"/>
      <c r="BE47" s="5"/>
      <c r="BF47" s="5"/>
      <c r="BG47" s="5"/>
      <c r="BH47" s="5"/>
      <c r="BI47" s="5"/>
      <c r="BJ47" s="5"/>
    </row>
    <row r="48" spans="1:62" ht="15" thickBot="1" x14ac:dyDescent="0.35">
      <c r="AP48" s="2"/>
      <c r="AQ48" s="4"/>
      <c r="AR48" s="4"/>
      <c r="AS48" s="4"/>
      <c r="AT48" s="4"/>
      <c r="AU48" s="4"/>
      <c r="AV48" s="4"/>
      <c r="AW48" s="5"/>
      <c r="AX48" s="5"/>
      <c r="AY48" s="5"/>
      <c r="AZ48" s="5"/>
      <c r="BA48" s="5"/>
      <c r="BB48" s="5"/>
      <c r="BC48" s="5"/>
      <c r="BD48" s="5"/>
      <c r="BE48" s="5"/>
      <c r="BF48" s="5"/>
      <c r="BG48" s="5"/>
      <c r="BH48" s="5"/>
      <c r="BI48" s="5"/>
      <c r="BJ48" s="5"/>
    </row>
    <row r="49" spans="1:62" ht="40.200000000000003" thickBot="1" x14ac:dyDescent="0.35">
      <c r="A49" s="113" t="s">
        <v>8</v>
      </c>
      <c r="B49" s="114" t="s">
        <v>10</v>
      </c>
      <c r="C49" s="115" t="s">
        <v>9</v>
      </c>
      <c r="D49" s="116" t="s">
        <v>11</v>
      </c>
      <c r="F49" s="16"/>
      <c r="G49" s="50" t="s">
        <v>12</v>
      </c>
      <c r="H49" s="50" t="s">
        <v>13</v>
      </c>
      <c r="I49" s="50" t="s">
        <v>14</v>
      </c>
      <c r="J49" s="51" t="s">
        <v>15</v>
      </c>
      <c r="AP49" s="2"/>
      <c r="AQ49" s="4"/>
      <c r="AR49" s="4"/>
      <c r="AS49" s="4"/>
      <c r="AT49" s="4"/>
      <c r="AU49" s="4"/>
      <c r="AV49" s="4"/>
      <c r="AW49" s="5"/>
      <c r="AX49" s="5"/>
      <c r="AY49" s="5"/>
      <c r="AZ49" s="5"/>
      <c r="BA49" s="5"/>
      <c r="BB49" s="5"/>
      <c r="BC49" s="5"/>
      <c r="BD49" s="5"/>
      <c r="BE49" s="5"/>
      <c r="BF49" s="5"/>
      <c r="BG49" s="5"/>
      <c r="BH49" s="5"/>
      <c r="BI49" s="5"/>
      <c r="BJ49" s="5"/>
    </row>
    <row r="50" spans="1:62" x14ac:dyDescent="0.3">
      <c r="A50" s="22">
        <f t="shared" ref="A50:A59" si="24">G5</f>
        <v>104.56780821917809</v>
      </c>
      <c r="B50" s="23">
        <f t="shared" ref="B50:B59" si="25">A32</f>
        <v>104.51907837413206</v>
      </c>
      <c r="C50" s="24">
        <f t="shared" ref="C50:C59" si="26">B50-A50</f>
        <v>-4.8729845046025844E-2</v>
      </c>
      <c r="D50" s="25">
        <f t="shared" ref="D50:D59" si="27">C50^2</f>
        <v>2.3745977982096893E-3</v>
      </c>
      <c r="F50" s="65">
        <v>0.61643835616438358</v>
      </c>
      <c r="G50" s="59">
        <f>$B$28</f>
        <v>4.5187398919746435E-2</v>
      </c>
      <c r="H50" s="60">
        <f t="shared" ref="H50:H59" si="28">$C$28*(1-EXP(-F50/$A$28))/(F50/$A$28)</f>
        <v>-3.443931855799396E-2</v>
      </c>
      <c r="I50" s="60">
        <f t="shared" ref="I50:I59" si="29">$D$28*((1-EXP(-F50/$A$28))/(F50/$A$28)-EXP(-F50/$A$28))</f>
        <v>-3.3009006125064196E-3</v>
      </c>
      <c r="J50" s="52">
        <f>G50+H50+I50</f>
        <v>7.4471797492460558E-3</v>
      </c>
      <c r="AP50" s="2"/>
      <c r="AQ50" s="4"/>
      <c r="AR50" s="4"/>
      <c r="AS50" s="4"/>
      <c r="AT50" s="4"/>
      <c r="AU50" s="4"/>
      <c r="AV50" s="4"/>
      <c r="AW50" s="5"/>
      <c r="AX50" s="5"/>
      <c r="AY50" s="5"/>
      <c r="AZ50" s="5"/>
      <c r="BA50" s="5"/>
      <c r="BB50" s="5"/>
      <c r="BC50" s="5"/>
      <c r="BD50" s="5"/>
      <c r="BE50" s="5"/>
      <c r="BF50" s="5"/>
      <c r="BG50" s="5"/>
      <c r="BH50" s="5"/>
      <c r="BI50" s="5"/>
      <c r="BJ50" s="5"/>
    </row>
    <row r="51" spans="1:62" x14ac:dyDescent="0.3">
      <c r="A51" s="22">
        <f t="shared" si="24"/>
        <v>109.76972602739727</v>
      </c>
      <c r="B51" s="23">
        <f t="shared" si="25"/>
        <v>109.68739028321669</v>
      </c>
      <c r="C51" s="24">
        <f t="shared" si="26"/>
        <v>-8.2335744180582537E-2</v>
      </c>
      <c r="D51" s="25">
        <f t="shared" si="27"/>
        <v>6.7791747697703315E-3</v>
      </c>
      <c r="F51" s="66">
        <v>2.117808219178082</v>
      </c>
      <c r="G51" s="61">
        <f>G50</f>
        <v>4.5187398919746435E-2</v>
      </c>
      <c r="H51" s="62">
        <f t="shared" si="28"/>
        <v>-2.6768438007092502E-2</v>
      </c>
      <c r="I51" s="62">
        <f t="shared" si="29"/>
        <v>-7.9870643651977925E-3</v>
      </c>
      <c r="J51" s="53">
        <f t="shared" ref="J51:J59" si="30">G51+H51+I51</f>
        <v>1.0431896547456141E-2</v>
      </c>
      <c r="AP51" s="2"/>
      <c r="AQ51" s="4"/>
      <c r="AR51" s="4"/>
      <c r="AS51" s="4"/>
      <c r="AT51" s="4"/>
      <c r="AU51" s="4"/>
      <c r="AV51" s="4"/>
      <c r="AW51" s="5"/>
      <c r="AX51" s="5"/>
      <c r="AY51" s="5"/>
      <c r="AZ51" s="5"/>
      <c r="BA51" s="5"/>
      <c r="BB51" s="5"/>
      <c r="BC51" s="5"/>
      <c r="BD51" s="5"/>
      <c r="BE51" s="5"/>
      <c r="BF51" s="5"/>
      <c r="BG51" s="5"/>
      <c r="BH51" s="5"/>
      <c r="BI51" s="5"/>
      <c r="BJ51" s="5"/>
    </row>
    <row r="52" spans="1:62" x14ac:dyDescent="0.3">
      <c r="A52" s="22">
        <f t="shared" si="24"/>
        <v>108.47479452054793</v>
      </c>
      <c r="B52" s="23">
        <f t="shared" si="25"/>
        <v>108.49752072598139</v>
      </c>
      <c r="C52" s="24">
        <f t="shared" si="26"/>
        <v>2.272620543345738E-2</v>
      </c>
      <c r="D52" s="25">
        <f t="shared" si="27"/>
        <v>5.1648041340370779E-4</v>
      </c>
      <c r="F52" s="66">
        <v>4.117808219178082</v>
      </c>
      <c r="G52" s="61">
        <f t="shared" ref="G52:G59" si="31">G51</f>
        <v>4.5187398919746435E-2</v>
      </c>
      <c r="H52" s="62">
        <f t="shared" si="28"/>
        <v>-1.9870019088601951E-2</v>
      </c>
      <c r="I52" s="62">
        <f t="shared" si="29"/>
        <v>-1.0017337302002587E-2</v>
      </c>
      <c r="J52" s="53">
        <f t="shared" si="30"/>
        <v>1.5300042529141897E-2</v>
      </c>
      <c r="AP52" s="2"/>
      <c r="AQ52" s="4"/>
      <c r="AR52" s="4"/>
      <c r="AS52" s="4"/>
      <c r="AT52" s="4"/>
      <c r="AU52" s="4"/>
      <c r="AV52" s="4"/>
      <c r="AW52" s="5"/>
      <c r="AX52" s="5"/>
      <c r="AY52" s="5"/>
      <c r="AZ52" s="5"/>
      <c r="BA52" s="5"/>
      <c r="BB52" s="5"/>
      <c r="BC52" s="5"/>
      <c r="BD52" s="5"/>
      <c r="BE52" s="5"/>
      <c r="BF52" s="5"/>
      <c r="BG52" s="5"/>
      <c r="BH52" s="5"/>
      <c r="BI52" s="5"/>
      <c r="BJ52" s="5"/>
    </row>
    <row r="53" spans="1:62" x14ac:dyDescent="0.3">
      <c r="A53" s="22">
        <f t="shared" si="24"/>
        <v>113.45424657534247</v>
      </c>
      <c r="B53" s="23">
        <f t="shared" si="25"/>
        <v>113.43910510598097</v>
      </c>
      <c r="C53" s="24">
        <f t="shared" si="26"/>
        <v>-1.5141469361495297E-2</v>
      </c>
      <c r="D53" s="25">
        <f t="shared" si="27"/>
        <v>2.2926409442510079E-4</v>
      </c>
      <c r="F53" s="66">
        <v>6.6191780821917812</v>
      </c>
      <c r="G53" s="61">
        <f t="shared" si="31"/>
        <v>4.5187398919746435E-2</v>
      </c>
      <c r="H53" s="62">
        <f t="shared" si="28"/>
        <v>-1.4470705455349812E-2</v>
      </c>
      <c r="I53" s="62">
        <f t="shared" si="29"/>
        <v>-9.7627055624757587E-3</v>
      </c>
      <c r="J53" s="53">
        <f t="shared" si="30"/>
        <v>2.0953987901920865E-2</v>
      </c>
      <c r="AP53" s="2"/>
      <c r="AQ53" s="4"/>
      <c r="AR53" s="4"/>
      <c r="AS53" s="4"/>
      <c r="AT53" s="4"/>
      <c r="AU53" s="4"/>
      <c r="AV53" s="4"/>
      <c r="AW53" s="5"/>
      <c r="AX53" s="5"/>
      <c r="AY53" s="5"/>
      <c r="AZ53" s="5"/>
      <c r="BA53" s="5"/>
      <c r="BB53" s="5"/>
      <c r="BC53" s="5"/>
      <c r="BD53" s="5"/>
      <c r="BE53" s="5"/>
      <c r="BF53" s="5"/>
      <c r="BG53" s="5"/>
      <c r="BH53" s="5"/>
      <c r="BI53" s="5"/>
      <c r="BJ53" s="5"/>
    </row>
    <row r="54" spans="1:62" x14ac:dyDescent="0.3">
      <c r="A54" s="22">
        <f t="shared" si="24"/>
        <v>113.84849315068493</v>
      </c>
      <c r="B54" s="23">
        <f t="shared" si="25"/>
        <v>113.71982735801609</v>
      </c>
      <c r="C54" s="24">
        <f t="shared" si="26"/>
        <v>-0.1286657926688406</v>
      </c>
      <c r="D54" s="25">
        <f t="shared" si="27"/>
        <v>1.6554886203101075E-2</v>
      </c>
      <c r="F54" s="66">
        <v>8.1205479452054803</v>
      </c>
      <c r="G54" s="61">
        <f t="shared" si="31"/>
        <v>4.5187398919746435E-2</v>
      </c>
      <c r="H54" s="62">
        <f t="shared" si="28"/>
        <v>-1.2280525309324705E-2</v>
      </c>
      <c r="I54" s="62">
        <f t="shared" si="29"/>
        <v>-9.1024909577854026E-3</v>
      </c>
      <c r="J54" s="53">
        <f t="shared" si="30"/>
        <v>2.3804382652636326E-2</v>
      </c>
      <c r="AP54" s="2"/>
      <c r="AQ54" s="4"/>
      <c r="AR54" s="4"/>
      <c r="AS54" s="4"/>
      <c r="AT54" s="4"/>
      <c r="AU54" s="4"/>
      <c r="AV54" s="4"/>
      <c r="AW54" s="5"/>
      <c r="AX54" s="5"/>
      <c r="AY54" s="5"/>
      <c r="AZ54" s="5"/>
      <c r="BA54" s="5"/>
      <c r="BB54" s="5"/>
      <c r="BC54" s="5"/>
      <c r="BD54" s="5"/>
      <c r="BE54" s="5"/>
      <c r="BF54" s="5"/>
      <c r="BG54" s="5"/>
      <c r="BH54" s="5"/>
      <c r="BI54" s="5"/>
      <c r="BJ54" s="5"/>
    </row>
    <row r="55" spans="1:62" x14ac:dyDescent="0.3">
      <c r="A55" s="22">
        <f t="shared" si="24"/>
        <v>108.75602739726027</v>
      </c>
      <c r="B55" s="23">
        <f t="shared" si="25"/>
        <v>108.29053526530249</v>
      </c>
      <c r="C55" s="24">
        <f t="shared" si="26"/>
        <v>-0.46549213195777384</v>
      </c>
      <c r="D55" s="25">
        <f t="shared" si="27"/>
        <v>0.21668292491459354</v>
      </c>
      <c r="F55" s="66">
        <v>10.123287671232877</v>
      </c>
      <c r="G55" s="61">
        <f t="shared" si="31"/>
        <v>4.5187398919746435E-2</v>
      </c>
      <c r="H55" s="62">
        <f t="shared" si="28"/>
        <v>-1.0127115928035011E-2</v>
      </c>
      <c r="I55" s="62">
        <f t="shared" si="29"/>
        <v>-8.1046765289486001E-3</v>
      </c>
      <c r="J55" s="53">
        <f t="shared" si="30"/>
        <v>2.6955606462762828E-2</v>
      </c>
      <c r="AP55" s="2"/>
      <c r="AQ55" s="4"/>
      <c r="AR55" s="4"/>
      <c r="AS55" s="4"/>
      <c r="AT55" s="4"/>
      <c r="AU55" s="4"/>
      <c r="AV55" s="4"/>
      <c r="AW55" s="5"/>
      <c r="AX55" s="5"/>
      <c r="AY55" s="5"/>
      <c r="AZ55" s="5"/>
      <c r="BA55" s="5"/>
      <c r="BB55" s="5"/>
      <c r="BC55" s="5"/>
      <c r="BD55" s="5"/>
      <c r="BE55" s="5"/>
      <c r="BF55" s="5"/>
      <c r="BG55" s="5"/>
      <c r="BH55" s="5"/>
      <c r="BI55" s="5"/>
      <c r="BJ55" s="5"/>
    </row>
    <row r="56" spans="1:62" x14ac:dyDescent="0.3">
      <c r="A56" s="22">
        <f t="shared" si="24"/>
        <v>160.16027397260274</v>
      </c>
      <c r="B56" s="23">
        <f t="shared" si="25"/>
        <v>160.58748733330617</v>
      </c>
      <c r="C56" s="24">
        <f t="shared" si="26"/>
        <v>0.42721336070343341</v>
      </c>
      <c r="D56" s="25">
        <f t="shared" si="27"/>
        <v>0.18251125556352191</v>
      </c>
      <c r="F56" s="66">
        <v>11.621917808219179</v>
      </c>
      <c r="G56" s="61">
        <f t="shared" si="31"/>
        <v>4.5187398919746435E-2</v>
      </c>
      <c r="H56" s="62">
        <f t="shared" si="28"/>
        <v>-8.9151351314078354E-3</v>
      </c>
      <c r="I56" s="62">
        <f t="shared" si="29"/>
        <v>-7.3873854186465773E-3</v>
      </c>
      <c r="J56" s="53">
        <f t="shared" si="30"/>
        <v>2.8884878369692023E-2</v>
      </c>
      <c r="AP56" s="2"/>
      <c r="AQ56" s="4"/>
      <c r="AR56" s="4"/>
      <c r="AS56" s="4"/>
      <c r="AT56" s="4"/>
      <c r="AU56" s="4"/>
      <c r="AV56" s="4"/>
      <c r="AW56" s="5"/>
      <c r="AX56" s="5"/>
      <c r="AY56" s="5"/>
      <c r="AZ56" s="5"/>
      <c r="BA56" s="5"/>
      <c r="BB56" s="5"/>
      <c r="BC56" s="5"/>
      <c r="BD56" s="5"/>
      <c r="BE56" s="5"/>
      <c r="BF56" s="5"/>
      <c r="BG56" s="5"/>
      <c r="BH56" s="5"/>
      <c r="BI56" s="5"/>
      <c r="BJ56" s="5"/>
    </row>
    <row r="57" spans="1:62" x14ac:dyDescent="0.3">
      <c r="A57" s="22">
        <f t="shared" si="24"/>
        <v>132.03958904109589</v>
      </c>
      <c r="B57" s="23">
        <f t="shared" si="25"/>
        <v>132.82912728434331</v>
      </c>
      <c r="C57" s="24">
        <f t="shared" si="26"/>
        <v>0.78953824324742072</v>
      </c>
      <c r="D57" s="25">
        <f t="shared" si="27"/>
        <v>0.62337063755022326</v>
      </c>
      <c r="F57" s="66">
        <v>17.627397260273973</v>
      </c>
      <c r="G57" s="61">
        <f t="shared" si="31"/>
        <v>4.5187398919746435E-2</v>
      </c>
      <c r="H57" s="62">
        <f t="shared" si="28"/>
        <v>-5.9531537193657112E-3</v>
      </c>
      <c r="I57" s="62">
        <f t="shared" si="29"/>
        <v>-5.2016397871493128E-3</v>
      </c>
      <c r="J57" s="53">
        <f t="shared" si="30"/>
        <v>3.4032605413231415E-2</v>
      </c>
    </row>
    <row r="58" spans="1:62" x14ac:dyDescent="0.3">
      <c r="A58" s="22">
        <f t="shared" si="24"/>
        <v>124.34191780821918</v>
      </c>
      <c r="B58" s="23">
        <f>A40</f>
        <v>122.60313855972427</v>
      </c>
      <c r="C58" s="120">
        <f>B58-A58</f>
        <v>-1.7387792484949074</v>
      </c>
      <c r="D58" s="25">
        <f t="shared" si="27"/>
        <v>3.0233532749965151</v>
      </c>
      <c r="F58" s="66">
        <v>23.63013698630137</v>
      </c>
      <c r="G58" s="61">
        <f t="shared" si="31"/>
        <v>4.5187398919746435E-2</v>
      </c>
      <c r="H58" s="62">
        <f t="shared" si="28"/>
        <v>-4.4471162966628255E-3</v>
      </c>
      <c r="I58" s="62">
        <f t="shared" si="29"/>
        <v>-3.9197841998151366E-3</v>
      </c>
      <c r="J58" s="53">
        <f t="shared" si="30"/>
        <v>3.6820498423268469E-2</v>
      </c>
    </row>
    <row r="59" spans="1:62" ht="15" thickBot="1" x14ac:dyDescent="0.35">
      <c r="A59" s="26">
        <f t="shared" si="24"/>
        <v>121.56602739726027</v>
      </c>
      <c r="B59" s="27">
        <f t="shared" si="25"/>
        <v>122.50453583499437</v>
      </c>
      <c r="C59" s="28">
        <f t="shared" si="26"/>
        <v>0.9385084377341002</v>
      </c>
      <c r="D59" s="29">
        <f t="shared" si="27"/>
        <v>0.88079808769810142</v>
      </c>
      <c r="F59" s="67">
        <v>29.635616438356163</v>
      </c>
      <c r="G59" s="63">
        <f t="shared" si="31"/>
        <v>4.5187398919746435E-2</v>
      </c>
      <c r="H59" s="64">
        <f t="shared" si="28"/>
        <v>-3.5464875344583136E-3</v>
      </c>
      <c r="I59" s="64">
        <f t="shared" si="29"/>
        <v>-3.1300366935537627E-3</v>
      </c>
      <c r="J59" s="54">
        <f t="shared" si="30"/>
        <v>3.8510874691734358E-2</v>
      </c>
    </row>
    <row r="60" spans="1:62" ht="15" thickBot="1" x14ac:dyDescent="0.35">
      <c r="A60" s="68"/>
      <c r="B60" s="69"/>
      <c r="C60" s="69"/>
      <c r="D60" s="70"/>
    </row>
    <row r="61" spans="1:62" ht="15" thickBot="1" x14ac:dyDescent="0.35">
      <c r="A61" s="71"/>
      <c r="B61" s="72"/>
      <c r="C61" s="48" t="s">
        <v>25</v>
      </c>
      <c r="D61" s="49">
        <f>SUM(D50:D59)</f>
        <v>4.9531705840018656</v>
      </c>
      <c r="H61" t="s">
        <v>27</v>
      </c>
      <c r="I61" t="s">
        <v>26</v>
      </c>
    </row>
    <row r="62" spans="1:62" x14ac:dyDescent="0.3">
      <c r="H62">
        <f>-I62/B50</f>
        <v>0.61189197211301305</v>
      </c>
      <c r="I62">
        <f>SUM(J62:AJ62)</f>
        <v>-63.954384989782241</v>
      </c>
      <c r="J62" s="121">
        <f t="shared" ref="J62:J71" si="32">-J5*(1+$B5)*100/(1+B32)^(J5+1)</f>
        <v>-63.954384989782241</v>
      </c>
    </row>
    <row r="63" spans="1:62" x14ac:dyDescent="0.3">
      <c r="H63">
        <f t="shared" ref="H63:H71" si="33">-I63/B51</f>
        <v>1.9883862608315845</v>
      </c>
      <c r="I63">
        <f t="shared" ref="I63:I71" si="34">SUM(J63:AJ63)</f>
        <v>-218.1008998256199</v>
      </c>
      <c r="J63" s="121">
        <f t="shared" si="32"/>
        <v>-213.23960030962803</v>
      </c>
      <c r="K63" s="121">
        <f t="shared" ref="K63:K71" si="35">-K6*$B6*100/(1+C33)^(K6+1)</f>
        <v>-4.3936348472134981</v>
      </c>
      <c r="L63" s="121">
        <f t="shared" ref="L63:L71" si="36">-L6*$B6*100/(1+D33)^(L6+1)</f>
        <v>-0.46766466877838259</v>
      </c>
    </row>
    <row r="64" spans="1:62" x14ac:dyDescent="0.3">
      <c r="H64">
        <f t="shared" si="33"/>
        <v>3.7889787587151122</v>
      </c>
      <c r="I64">
        <f t="shared" si="34"/>
        <v>-411.09480140399614</v>
      </c>
      <c r="J64" s="121">
        <f t="shared" si="32"/>
        <v>-392.42299129741468</v>
      </c>
      <c r="K64" s="121">
        <f t="shared" si="35"/>
        <v>-8.8746931529637134</v>
      </c>
      <c r="L64" s="121">
        <f t="shared" si="36"/>
        <v>-6.1511423166238846</v>
      </c>
      <c r="M64" s="121">
        <f t="shared" ref="M64:N71" si="37">-M7*$B7*100/(1+E34)^(M7+1)</f>
        <v>-3.2952261354101235</v>
      </c>
      <c r="N64" s="121">
        <f t="shared" si="37"/>
        <v>-0.35074850158378695</v>
      </c>
    </row>
    <row r="65" spans="8:71" x14ac:dyDescent="0.3">
      <c r="H65">
        <f t="shared" si="33"/>
        <v>5.7906988106666644</v>
      </c>
      <c r="I65">
        <f t="shared" si="34"/>
        <v>-656.89169102029473</v>
      </c>
      <c r="J65" s="121">
        <f t="shared" si="32"/>
        <v>-587.78404442376893</v>
      </c>
      <c r="K65" s="121">
        <f t="shared" si="35"/>
        <v>-19.8675132798402</v>
      </c>
      <c r="L65" s="121">
        <f t="shared" si="36"/>
        <v>-16.852620123478417</v>
      </c>
      <c r="M65" s="121">
        <f t="shared" si="37"/>
        <v>-13.571456255531528</v>
      </c>
      <c r="N65" s="121">
        <f t="shared" si="37"/>
        <v>-10.04762250464456</v>
      </c>
      <c r="O65" s="121">
        <f t="shared" ref="O65:P71" si="38">-O8*$B8*100/(1+G35)^(O8+1)</f>
        <v>-6.3213145890858318</v>
      </c>
      <c r="P65" s="121">
        <f t="shared" si="38"/>
        <v>-2.4471198439452446</v>
      </c>
      <c r="BM65" s="14"/>
    </row>
    <row r="66" spans="8:71" x14ac:dyDescent="0.3">
      <c r="H66">
        <f t="shared" si="33"/>
        <v>6.8331587185520251</v>
      </c>
      <c r="I66">
        <f t="shared" si="34"/>
        <v>-777.06562978365878</v>
      </c>
      <c r="J66" s="121">
        <f t="shared" si="32"/>
        <v>-679.81218531478157</v>
      </c>
      <c r="K66" s="121">
        <f t="shared" si="35"/>
        <v>-22.384944617707188</v>
      </c>
      <c r="L66" s="121">
        <f t="shared" si="36"/>
        <v>-19.945834068606235</v>
      </c>
      <c r="M66" s="121">
        <f t="shared" si="37"/>
        <v>-17.248452131123159</v>
      </c>
      <c r="N66" s="121">
        <f t="shared" si="37"/>
        <v>-14.295674971973705</v>
      </c>
      <c r="O66" s="121">
        <f t="shared" si="38"/>
        <v>-11.102421704062385</v>
      </c>
      <c r="P66" s="121">
        <f t="shared" si="38"/>
        <v>-7.6985048557722324</v>
      </c>
      <c r="Q66" s="121">
        <f t="shared" ref="Q66" si="39">-Q9*$B9*100/(1+I36)^(Q9+1)</f>
        <v>-4.1289900091692857</v>
      </c>
      <c r="R66" s="121">
        <f t="shared" ref="R66" si="40">-R9*$B9*100/(1+J36)^(R9+1)</f>
        <v>-0.44862211046304196</v>
      </c>
      <c r="BM66" s="2"/>
      <c r="BN66" s="2"/>
      <c r="BO66" s="2"/>
      <c r="BP66" s="2"/>
      <c r="BQ66" s="2"/>
    </row>
    <row r="67" spans="8:71" x14ac:dyDescent="0.3">
      <c r="H67">
        <f t="shared" si="33"/>
        <v>8.3679040865562513</v>
      </c>
      <c r="I67">
        <f t="shared" si="34"/>
        <v>-906.16481258188867</v>
      </c>
      <c r="J67" s="121">
        <f t="shared" si="32"/>
        <v>-777.53346112652957</v>
      </c>
      <c r="K67" s="121">
        <f t="shared" si="35"/>
        <v>-22.985611043261592</v>
      </c>
      <c r="L67" s="121">
        <f t="shared" si="36"/>
        <v>-21.300220897574505</v>
      </c>
      <c r="M67" s="121">
        <f t="shared" si="37"/>
        <v>-19.405772613651799</v>
      </c>
      <c r="N67" s="121">
        <f t="shared" si="37"/>
        <v>-17.292485968932443</v>
      </c>
      <c r="O67" s="121">
        <f t="shared" si="38"/>
        <v>-14.9553688815963</v>
      </c>
      <c r="P67" s="121">
        <f t="shared" si="38"/>
        <v>-12.39688952720161</v>
      </c>
      <c r="Q67" s="121">
        <f t="shared" ref="Q67:R71" si="41">-Q10*$B10*100/(1+I37)^(Q10+1)</f>
        <v>-9.6299453255646732</v>
      </c>
      <c r="R67" s="121">
        <f t="shared" si="41"/>
        <v>-6.6803364903525253</v>
      </c>
      <c r="S67" s="121">
        <f t="shared" ref="S67" si="42">-S10*$B10*100/(1+K37)^(S10+1)</f>
        <v>-3.5870869840284647</v>
      </c>
      <c r="T67" s="121">
        <f t="shared" ref="T67" si="43">-T10*$B10*100/(1+L37)^(T10+1)</f>
        <v>-0.39763372319516371</v>
      </c>
      <c r="BM67" s="4"/>
      <c r="BN67" s="4"/>
      <c r="BO67" s="4"/>
      <c r="BP67" s="4"/>
      <c r="BQ67" s="4"/>
      <c r="BR67" s="4"/>
      <c r="BS67" s="2"/>
    </row>
    <row r="68" spans="8:71" x14ac:dyDescent="0.3">
      <c r="H68">
        <f t="shared" si="33"/>
        <v>8.1852927224609502</v>
      </c>
      <c r="I68">
        <f t="shared" si="34"/>
        <v>-1314.4555913876011</v>
      </c>
      <c r="J68" s="121">
        <f t="shared" si="32"/>
        <v>-880.26817688586766</v>
      </c>
      <c r="K68" s="121">
        <f t="shared" si="35"/>
        <v>-65.770576725419033</v>
      </c>
      <c r="L68" s="121">
        <f t="shared" si="36"/>
        <v>-62.119852877574552</v>
      </c>
      <c r="M68" s="121">
        <f t="shared" si="37"/>
        <v>-57.972623729628438</v>
      </c>
      <c r="N68" s="121">
        <f t="shared" si="37"/>
        <v>-53.29429427645865</v>
      </c>
      <c r="O68" s="121">
        <f t="shared" si="38"/>
        <v>-48.055187503723552</v>
      </c>
      <c r="P68" s="121">
        <f t="shared" si="38"/>
        <v>-42.235217225480845</v>
      </c>
      <c r="Q68" s="121">
        <f t="shared" si="41"/>
        <v>-35.830158412818335</v>
      </c>
      <c r="R68" s="121">
        <f t="shared" si="41"/>
        <v>-28.859182480685799</v>
      </c>
      <c r="S68" s="121">
        <f t="shared" ref="S68:U71" si="44">-S11*$B11*100/(1+K38)^(S11+1)</f>
        <v>-21.372348100653092</v>
      </c>
      <c r="T68" s="121">
        <f t="shared" si="44"/>
        <v>-13.454974979246307</v>
      </c>
      <c r="U68" s="121">
        <f t="shared" si="44"/>
        <v>-5.2229981900445646</v>
      </c>
      <c r="BM68" s="4"/>
      <c r="BN68" s="4"/>
      <c r="BO68" s="4"/>
      <c r="BP68" s="4"/>
      <c r="BQ68" s="4"/>
      <c r="BR68" s="4"/>
      <c r="BS68" s="2"/>
    </row>
    <row r="69" spans="8:71" x14ac:dyDescent="0.3">
      <c r="H69">
        <f t="shared" si="33"/>
        <v>11.779648302623139</v>
      </c>
      <c r="I69">
        <f t="shared" si="34"/>
        <v>-1564.6804037539275</v>
      </c>
      <c r="J69" s="121">
        <f t="shared" si="32"/>
        <v>-997.02423437419179</v>
      </c>
      <c r="K69" s="121">
        <f t="shared" si="35"/>
        <v>-51.255640233355017</v>
      </c>
      <c r="L69" s="121">
        <f t="shared" si="36"/>
        <v>-50.356122382880713</v>
      </c>
      <c r="M69" s="121">
        <f t="shared" si="37"/>
        <v>-49.262648030482303</v>
      </c>
      <c r="N69" s="121">
        <f t="shared" si="37"/>
        <v>-47.957380975650352</v>
      </c>
      <c r="O69" s="121">
        <f t="shared" si="38"/>
        <v>-46.420943237471164</v>
      </c>
      <c r="P69" s="121">
        <f t="shared" si="38"/>
        <v>-44.632424169394966</v>
      </c>
      <c r="Q69" s="121">
        <f t="shared" si="41"/>
        <v>-42.569533907843322</v>
      </c>
      <c r="R69" s="121">
        <f t="shared" si="41"/>
        <v>-40.208996776574004</v>
      </c>
      <c r="S69" s="121">
        <f t="shared" si="44"/>
        <v>-37.527318728014009</v>
      </c>
      <c r="T69" s="121">
        <f t="shared" si="44"/>
        <v>-34.502103823813087</v>
      </c>
      <c r="U69" s="121">
        <f t="shared" si="44"/>
        <v>-31.114124552394188</v>
      </c>
      <c r="V69" s="121">
        <f t="shared" ref="V69" si="45">-V12*$B12*100/(1+N39)^(V12+1)</f>
        <v>-27.35033983515498</v>
      </c>
      <c r="W69" s="121">
        <f t="shared" ref="W69" si="46">-W12*$B12*100/(1+O39)^(W12+1)</f>
        <v>-23.20794682468642</v>
      </c>
      <c r="X69" s="121">
        <f t="shared" ref="X69" si="47">-X12*$B12*100/(1+P39)^(X12+1)</f>
        <v>-18.699253727746143</v>
      </c>
      <c r="Y69" s="121">
        <f t="shared" ref="Y69" si="48">-Y12*$B12*100/(1+Q39)^(Y12+1)</f>
        <v>-13.856531051713022</v>
      </c>
      <c r="Z69" s="121">
        <f t="shared" ref="Z69" si="49">-Z12*$B12*100/(1+R39)^(Z12+1)</f>
        <v>-8.7348611225620818</v>
      </c>
      <c r="BM69" s="4"/>
      <c r="BN69" s="4"/>
      <c r="BO69" s="4"/>
      <c r="BP69" s="4"/>
      <c r="BQ69" s="4"/>
      <c r="BR69" s="4"/>
      <c r="BS69" s="2"/>
    </row>
    <row r="70" spans="8:71" x14ac:dyDescent="0.3">
      <c r="H70">
        <f t="shared" si="33"/>
        <v>14.460060656681208</v>
      </c>
      <c r="I70">
        <f t="shared" si="34"/>
        <v>-1772.8488202731037</v>
      </c>
      <c r="J70" s="121">
        <f t="shared" si="32"/>
        <v>-1015.8721913840934</v>
      </c>
      <c r="K70" s="121">
        <f t="shared" si="35"/>
        <v>-46.124661377343699</v>
      </c>
      <c r="L70" s="121">
        <f t="shared" si="36"/>
        <v>-46.093829458207061</v>
      </c>
      <c r="M70" s="121">
        <f t="shared" si="37"/>
        <v>-45.964739883587114</v>
      </c>
      <c r="N70" s="121">
        <f t="shared" si="37"/>
        <v>-45.728121603415318</v>
      </c>
      <c r="O70" s="121">
        <f t="shared" si="38"/>
        <v>-45.373923396631049</v>
      </c>
      <c r="P70" s="121">
        <f t="shared" si="38"/>
        <v>-44.891226342202472</v>
      </c>
      <c r="Q70" s="121">
        <f t="shared" si="41"/>
        <v>-44.268146267732092</v>
      </c>
      <c r="R70" s="121">
        <f t="shared" si="41"/>
        <v>-43.491728893624533</v>
      </c>
      <c r="S70" s="121">
        <f t="shared" si="44"/>
        <v>-42.547844051079288</v>
      </c>
      <c r="T70" s="121">
        <f t="shared" si="44"/>
        <v>-41.421091334688953</v>
      </c>
      <c r="U70" s="121">
        <f t="shared" si="44"/>
        <v>-40.094738894831373</v>
      </c>
      <c r="V70" s="121">
        <f>-V13*$B13*100/(1+N40)^(V13+1)</f>
        <v>-38.550731055167077</v>
      </c>
      <c r="W70" s="121">
        <f>-W13*$B13*100/(1+O40)^(W13+1)</f>
        <v>-36.76982039598834</v>
      </c>
      <c r="X70" s="121">
        <f>-X13*$B13*100/(1+P40)^(X13+1)</f>
        <v>-34.731906802858092</v>
      </c>
      <c r="Y70" s="121">
        <f>-Y13*$B13*100/(1+Q40)^(Y13+1)</f>
        <v>-32.416699180860874</v>
      </c>
      <c r="Z70" s="121">
        <f>-Z13*$B13*100/(1+R40)^(Z13+1)</f>
        <v>-29.804850881264198</v>
      </c>
      <c r="AA70" s="121">
        <f t="shared" ref="AA70" si="50">-AA13*$B13*100/(1+S40)^(AA13+1)</f>
        <v>-26.879745673012369</v>
      </c>
      <c r="AB70" s="121">
        <f t="shared" ref="AB70" si="51">-AB13*$B13*100/(1+T40)^(AB13+1)</f>
        <v>-23.630101787758282</v>
      </c>
      <c r="AC70" s="121">
        <f t="shared" ref="AC70" si="52">-AC13*$B13*100/(1+U40)^(AC13+1)</f>
        <v>-20.053468834885727</v>
      </c>
      <c r="AD70" s="121">
        <f t="shared" ref="AD70" si="53">-AD13*$B13*100/(1+V40)^(AD13+1)</f>
        <v>-16.160434866598457</v>
      </c>
      <c r="AE70" s="121">
        <f t="shared" ref="AE70" si="54">-AE13*$B13*100/(1+W40)^(AE13+1)</f>
        <v>-11.978817907274001</v>
      </c>
    </row>
    <row r="71" spans="8:71" x14ac:dyDescent="0.3">
      <c r="H71">
        <f t="shared" si="33"/>
        <v>15.816571001513111</v>
      </c>
      <c r="I71">
        <f t="shared" si="34"/>
        <v>-1937.6016890415958</v>
      </c>
      <c r="J71" s="121">
        <f t="shared" si="32"/>
        <v>-973.12284039190536</v>
      </c>
      <c r="K71" s="121">
        <f t="shared" si="35"/>
        <v>-42.330492258451045</v>
      </c>
      <c r="L71" s="121">
        <f t="shared" si="36"/>
        <v>-42.708952462180044</v>
      </c>
      <c r="M71" s="121">
        <f t="shared" si="37"/>
        <v>-43.035004271803444</v>
      </c>
      <c r="N71" s="121">
        <f t="shared" si="37"/>
        <v>-43.303068274718314</v>
      </c>
      <c r="O71" s="121">
        <f t="shared" si="38"/>
        <v>-43.507141599777611</v>
      </c>
      <c r="P71" s="121">
        <f t="shared" si="38"/>
        <v>-43.640761951884208</v>
      </c>
      <c r="Q71" s="121">
        <f t="shared" si="41"/>
        <v>-43.696966477036597</v>
      </c>
      <c r="R71" s="121">
        <f t="shared" si="41"/>
        <v>-43.668244414276792</v>
      </c>
      <c r="S71" s="121">
        <f t="shared" si="44"/>
        <v>-43.546482380812201</v>
      </c>
      <c r="T71" s="121">
        <f t="shared" si="44"/>
        <v>-43.322901116692456</v>
      </c>
      <c r="U71" s="121">
        <f t="shared" si="44"/>
        <v>-42.987982679150583</v>
      </c>
      <c r="V71" s="121">
        <f>-V14*$B14*100/(1+N41)^(V14+1)</f>
        <v>-42.531387575327585</v>
      </c>
      <c r="W71" s="121">
        <f>-W14*$B14*100/(1+O41)^(W14+1)</f>
        <v>-41.941862392558292</v>
      </c>
      <c r="X71" s="121">
        <f>-X14*$B14*100/(1+P41)^(X14+1)</f>
        <v>-41.207140486732293</v>
      </c>
      <c r="Y71" s="121">
        <f>-Y14*$B14*100/(1+Q41)^(Y14+1)</f>
        <v>-40.313841747084105</v>
      </c>
      <c r="Z71" s="121">
        <f t="shared" ref="Z71" si="55">-Z14*$B14*100/(1+R41)^(Z14+1)</f>
        <v>-39.247383108907549</v>
      </c>
      <c r="AA71" s="121">
        <f t="shared" ref="AA71" si="56">-AA14*$B14*100/(1+S41)^(AA14+1)</f>
        <v>-37.991920317704917</v>
      </c>
      <c r="AB71" s="121">
        <f t="shared" ref="AB71" si="57">-AB14*$B14*100/(1+T41)^(AB14+1)</f>
        <v>-36.530354665019118</v>
      </c>
      <c r="AC71" s="121">
        <f t="shared" ref="AC71" si="58">-AC14*$B14*100/(1+U41)^(AC14+1)</f>
        <v>-34.84445728723859</v>
      </c>
      <c r="AD71" s="121">
        <f t="shared" ref="AD71" si="59">-AD14*$B14*100/(1+V41)^(AD14+1)</f>
        <v>-32.915189027385061</v>
      </c>
      <c r="AE71" s="121">
        <f t="shared" ref="AE71" si="60">-AE14*$B14*100/(1+W41)^(AE14+1)</f>
        <v>-30.723325286812585</v>
      </c>
      <c r="AF71" s="121">
        <f t="shared" ref="AF71" si="61">-AF14*$B14*100/(1+X41)^(AF14+1)</f>
        <v>-28.250528790222653</v>
      </c>
      <c r="AG71" s="121">
        <f t="shared" ref="AG71" si="62">-AG14*$B14*100/(1+Y41)^(AG14+1)</f>
        <v>-25.481037716005048</v>
      </c>
      <c r="AH71" s="121">
        <f t="shared" ref="AH71" si="63">-AH14*$B14*100/(1+Z41)^(AH14+1)</f>
        <v>-22.404128112607566</v>
      </c>
      <c r="AI71" s="121">
        <f t="shared" ref="AI71" si="64">-AI14*$B14*100/(1+AA41)^(AI14+1)</f>
        <v>-19.017422280467699</v>
      </c>
      <c r="AJ71" s="121">
        <f t="shared" ref="AJ71" si="65">-AJ14*$B14*100/(1+AB41)^(AJ14+1)</f>
        <v>-15.330871968834314</v>
      </c>
    </row>
    <row r="72" spans="8:71" x14ac:dyDescent="0.3">
      <c r="H72">
        <f>-I72/SUM(B50:B59)</f>
        <v>8.0413116690951796</v>
      </c>
      <c r="I72">
        <f>SUM(J72:AJ72)</f>
        <v>-9622.8587240614652</v>
      </c>
      <c r="J72" s="121">
        <f>SUM(J62:J71)</f>
        <v>-6581.0341104979634</v>
      </c>
      <c r="K72" s="121">
        <f t="shared" ref="K72:AJ72" si="66">SUM(K62:K71)</f>
        <v>-283.98776753555501</v>
      </c>
      <c r="L72" s="121">
        <f t="shared" si="66"/>
        <v>-265.99623925590384</v>
      </c>
      <c r="M72" s="121">
        <f t="shared" si="66"/>
        <v>-249.75592305121788</v>
      </c>
      <c r="N72" s="121">
        <f t="shared" si="66"/>
        <v>-232.26939707737716</v>
      </c>
      <c r="O72" s="121">
        <f t="shared" si="66"/>
        <v>-215.7363009123479</v>
      </c>
      <c r="P72" s="121">
        <f t="shared" si="66"/>
        <v>-197.94214391588156</v>
      </c>
      <c r="Q72" s="121">
        <f t="shared" si="66"/>
        <v>-180.12374040016431</v>
      </c>
      <c r="R72" s="121">
        <f t="shared" si="66"/>
        <v>-163.35711116597668</v>
      </c>
      <c r="S72" s="121">
        <f t="shared" si="66"/>
        <v>-148.58108024458704</v>
      </c>
      <c r="T72" s="121">
        <f t="shared" si="66"/>
        <v>-133.09870497763598</v>
      </c>
      <c r="U72" s="121">
        <f t="shared" si="66"/>
        <v>-119.41984431642069</v>
      </c>
      <c r="V72" s="121">
        <f t="shared" si="66"/>
        <v>-108.43245846564965</v>
      </c>
      <c r="W72" s="121">
        <f t="shared" si="66"/>
        <v>-101.91962961323306</v>
      </c>
      <c r="X72" s="121">
        <f t="shared" si="66"/>
        <v>-94.638301017336516</v>
      </c>
      <c r="Y72" s="121">
        <f t="shared" si="66"/>
        <v>-86.587071979657992</v>
      </c>
      <c r="Z72" s="121">
        <f t="shared" si="66"/>
        <v>-77.787095112733823</v>
      </c>
      <c r="AA72" s="121">
        <f t="shared" si="66"/>
        <v>-64.87166599071729</v>
      </c>
      <c r="AB72" s="121">
        <f t="shared" si="66"/>
        <v>-60.160456452777396</v>
      </c>
      <c r="AC72" s="121">
        <f t="shared" si="66"/>
        <v>-54.897926122124318</v>
      </c>
      <c r="AD72" s="121">
        <f t="shared" si="66"/>
        <v>-49.075623893983519</v>
      </c>
      <c r="AE72" s="121">
        <f t="shared" si="66"/>
        <v>-42.702143194086588</v>
      </c>
      <c r="AF72" s="121">
        <f t="shared" si="66"/>
        <v>-28.250528790222653</v>
      </c>
      <c r="AG72" s="121">
        <f t="shared" si="66"/>
        <v>-25.481037716005048</v>
      </c>
      <c r="AH72" s="121">
        <f t="shared" si="66"/>
        <v>-22.404128112607566</v>
      </c>
      <c r="AI72" s="121">
        <f t="shared" si="66"/>
        <v>-19.017422280467699</v>
      </c>
      <c r="AJ72" s="121">
        <f t="shared" si="66"/>
        <v>-15.330871968834314</v>
      </c>
    </row>
    <row r="87" spans="9:47" x14ac:dyDescent="0.3">
      <c r="AP87" s="12"/>
      <c r="AQ87" s="12"/>
      <c r="AR87" s="12"/>
      <c r="AS87" s="12"/>
      <c r="AT87" s="13"/>
      <c r="AU87" s="12"/>
    </row>
    <row r="88" spans="9:47" ht="38.25" customHeight="1" x14ac:dyDescent="0.3">
      <c r="AP88" s="12"/>
      <c r="AQ88" s="12"/>
      <c r="AR88" s="12"/>
      <c r="AS88" s="12"/>
      <c r="AT88" s="13"/>
      <c r="AU88" s="12"/>
    </row>
    <row r="89" spans="9:47" x14ac:dyDescent="0.3">
      <c r="AP89" s="12"/>
      <c r="AQ89" s="12"/>
      <c r="AR89" s="12"/>
      <c r="AS89" s="12"/>
      <c r="AT89" s="13"/>
      <c r="AU89" s="12"/>
    </row>
    <row r="90" spans="9:47" x14ac:dyDescent="0.3">
      <c r="AP90" s="12"/>
      <c r="AQ90" s="12"/>
      <c r="AR90" s="12"/>
      <c r="AS90" s="12"/>
      <c r="AT90" s="13"/>
      <c r="AU90" s="12"/>
    </row>
    <row r="91" spans="9:47" x14ac:dyDescent="0.3">
      <c r="AP91" s="12"/>
      <c r="AQ91" s="12"/>
      <c r="AR91" s="12"/>
      <c r="AS91" s="12"/>
      <c r="AT91" s="13"/>
      <c r="AU91" s="12"/>
    </row>
    <row r="92" spans="9:47" x14ac:dyDescent="0.3">
      <c r="AP92" s="12"/>
      <c r="AQ92" s="12"/>
      <c r="AR92" s="12"/>
      <c r="AS92" s="12"/>
      <c r="AT92" s="13"/>
      <c r="AU92" s="12"/>
    </row>
    <row r="93" spans="9:47" x14ac:dyDescent="0.3">
      <c r="AP93" s="12"/>
      <c r="AQ93" s="12"/>
      <c r="AR93" s="12"/>
      <c r="AS93" s="12"/>
      <c r="AT93" s="13"/>
      <c r="AU93" s="12"/>
    </row>
    <row r="94" spans="9:47" x14ac:dyDescent="0.3">
      <c r="AP94" s="12"/>
      <c r="AQ94" s="12"/>
      <c r="AR94" s="12"/>
      <c r="AS94" s="12"/>
      <c r="AT94" s="13"/>
      <c r="AU94" s="12"/>
    </row>
    <row r="95" spans="9:47" x14ac:dyDescent="0.3">
      <c r="I95" s="73"/>
      <c r="AP95" s="12"/>
      <c r="AQ95" s="12"/>
      <c r="AR95" s="12"/>
      <c r="AS95" s="12"/>
      <c r="AT95" s="13"/>
      <c r="AU95" s="12"/>
    </row>
    <row r="96" spans="9:47" x14ac:dyDescent="0.3">
      <c r="AP96" s="12"/>
      <c r="AQ96" s="12"/>
      <c r="AR96" s="12"/>
      <c r="AS96" s="12"/>
      <c r="AT96" s="13"/>
      <c r="AU96" s="12"/>
    </row>
    <row r="97" spans="1:46" x14ac:dyDescent="0.3">
      <c r="A97" t="s">
        <v>16</v>
      </c>
    </row>
    <row r="98" spans="1:46" x14ac:dyDescent="0.3">
      <c r="A98" t="s">
        <v>17</v>
      </c>
    </row>
    <row r="99" spans="1:46" x14ac:dyDescent="0.3">
      <c r="AQ99" s="12"/>
      <c r="AR99" s="12"/>
      <c r="AS99" s="12"/>
      <c r="AT99" s="12"/>
    </row>
    <row r="100" spans="1:46" x14ac:dyDescent="0.3">
      <c r="AQ100" s="12"/>
      <c r="AR100" s="12"/>
      <c r="AS100" s="12"/>
      <c r="AT100" s="12"/>
    </row>
    <row r="101" spans="1:46" x14ac:dyDescent="0.3">
      <c r="AQ101" s="12"/>
      <c r="AR101" s="12"/>
      <c r="AS101" s="12"/>
      <c r="AT101" s="12"/>
    </row>
    <row r="102" spans="1:46" x14ac:dyDescent="0.3">
      <c r="AQ102" s="12"/>
      <c r="AR102" s="12"/>
      <c r="AS102" s="12"/>
      <c r="AT102" s="12"/>
    </row>
  </sheetData>
  <mergeCells count="2">
    <mergeCell ref="A26:D26"/>
    <mergeCell ref="J4:AM4"/>
  </mergeCells>
  <pageMargins left="0.7" right="0.7" top="0.75" bottom="0.75" header="0.3" footer="0.3"/>
  <pageSetup orientation="portrait" horizontalDpi="300" verticalDpi="300" r:id="rId1"/>
  <drawing r:id="rId2"/>
  <legacyDrawing r:id="rId3"/>
  <oleObjects>
    <mc:AlternateContent xmlns:mc="http://schemas.openxmlformats.org/markup-compatibility/2006">
      <mc:Choice Requires="x14">
        <oleObject progId="Equation.3" shapeId="1027" r:id="rId4">
          <objectPr defaultSize="0" autoPict="0" r:id="rId5">
            <anchor moveWithCells="1" sizeWithCells="1">
              <from>
                <xdr:col>4</xdr:col>
                <xdr:colOff>266700</xdr:colOff>
                <xdr:row>25</xdr:row>
                <xdr:rowOff>30480</xdr:rowOff>
              </from>
              <to>
                <xdr:col>14</xdr:col>
                <xdr:colOff>175260</xdr:colOff>
                <xdr:row>28</xdr:row>
                <xdr:rowOff>121920</xdr:rowOff>
              </to>
            </anchor>
          </objectPr>
        </oleObject>
      </mc:Choice>
      <mc:Fallback>
        <oleObject progId="Equation.3" shapeId="1027" r:id="rId4"/>
      </mc:Fallback>
    </mc:AlternateContent>
    <mc:AlternateContent xmlns:mc="http://schemas.openxmlformats.org/markup-compatibility/2006">
      <mc:Choice Requires="x14">
        <oleObject progId="Equation.3" shapeId="1028" r:id="rId6">
          <objectPr defaultSize="0" autoPict="0" r:id="rId7">
            <anchor moveWithCells="1" sizeWithCells="1">
              <from>
                <xdr:col>0</xdr:col>
                <xdr:colOff>53340</xdr:colOff>
                <xdr:row>41</xdr:row>
                <xdr:rowOff>137160</xdr:rowOff>
              </from>
              <to>
                <xdr:col>5</xdr:col>
                <xdr:colOff>640080</xdr:colOff>
                <xdr:row>46</xdr:row>
                <xdr:rowOff>152400</xdr:rowOff>
              </to>
            </anchor>
          </objectPr>
        </oleObject>
      </mc:Choice>
      <mc:Fallback>
        <oleObject progId="Equation.3" shapeId="1028"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8"/>
  <sheetViews>
    <sheetView topLeftCell="A12" workbookViewId="0">
      <selection activeCell="F25" sqref="F25"/>
    </sheetView>
  </sheetViews>
  <sheetFormatPr defaultColWidth="9.109375" defaultRowHeight="14.4" x14ac:dyDescent="0.3"/>
  <cols>
    <col min="1" max="1" width="11.88671875" customWidth="1"/>
    <col min="2" max="2" width="16" bestFit="1" customWidth="1"/>
    <col min="3" max="3" width="17.44140625" bestFit="1" customWidth="1"/>
    <col min="4" max="4" width="12" bestFit="1" customWidth="1"/>
    <col min="5" max="5" width="10.88671875" bestFit="1" customWidth="1"/>
    <col min="6" max="6" width="15.6640625" bestFit="1" customWidth="1"/>
    <col min="7" max="7" width="10.109375" bestFit="1" customWidth="1"/>
    <col min="8" max="23" width="9.88671875" bestFit="1" customWidth="1"/>
  </cols>
  <sheetData>
    <row r="2" spans="1:30" ht="15" thickBot="1" x14ac:dyDescent="0.35">
      <c r="G2" s="118">
        <v>40799</v>
      </c>
    </row>
    <row r="3" spans="1:30" ht="15" thickBot="1" x14ac:dyDescent="0.35">
      <c r="A3" s="16" t="s">
        <v>0</v>
      </c>
      <c r="B3" s="17" t="s">
        <v>18</v>
      </c>
      <c r="C3" s="17" t="s">
        <v>19</v>
      </c>
      <c r="D3" s="17" t="s">
        <v>1</v>
      </c>
      <c r="E3" s="17" t="s">
        <v>3</v>
      </c>
      <c r="F3" s="18" t="s">
        <v>4</v>
      </c>
      <c r="G3" s="21" t="s">
        <v>2</v>
      </c>
      <c r="I3" s="167" t="s">
        <v>20</v>
      </c>
      <c r="J3" s="168"/>
      <c r="K3" s="168"/>
      <c r="L3" s="168"/>
      <c r="M3" s="168"/>
      <c r="N3" s="168"/>
      <c r="O3" s="168"/>
      <c r="P3" s="168"/>
      <c r="Q3" s="168"/>
      <c r="R3" s="168"/>
      <c r="S3" s="168"/>
      <c r="T3" s="168"/>
      <c r="U3" s="168"/>
      <c r="V3" s="168"/>
      <c r="W3" s="168"/>
      <c r="X3" s="168"/>
      <c r="Y3" s="168"/>
      <c r="Z3" s="168"/>
      <c r="AA3" s="168"/>
      <c r="AB3" s="168"/>
      <c r="AC3" s="168"/>
      <c r="AD3" s="169"/>
    </row>
    <row r="4" spans="1:30" x14ac:dyDescent="0.3">
      <c r="A4" s="94">
        <v>1</v>
      </c>
      <c r="B4" s="95">
        <v>4.2500000000000003E-2</v>
      </c>
      <c r="C4" s="96">
        <v>40841</v>
      </c>
      <c r="D4" s="97">
        <v>43033</v>
      </c>
      <c r="E4" s="98">
        <v>113.09</v>
      </c>
      <c r="F4" s="99">
        <f>('NS Calculations'!$G$3-(C4-365))/365*B4*100</f>
        <v>3.7609589041095894</v>
      </c>
      <c r="G4" s="100">
        <f>E4+F4</f>
        <v>116.85095890410959</v>
      </c>
      <c r="I4" s="108">
        <f>(D4-'NS Calculations'!$G$3)/365</f>
        <v>6.1205479452054794</v>
      </c>
      <c r="J4" s="109">
        <f t="shared" ref="J4:O7" si="0">I4-1</f>
        <v>5.1205479452054794</v>
      </c>
      <c r="K4" s="109">
        <f t="shared" si="0"/>
        <v>4.1205479452054794</v>
      </c>
      <c r="L4" s="109">
        <f t="shared" si="0"/>
        <v>3.1205479452054794</v>
      </c>
      <c r="M4" s="109">
        <f t="shared" si="0"/>
        <v>2.1205479452054794</v>
      </c>
      <c r="N4" s="109">
        <f t="shared" si="0"/>
        <v>1.1205479452054794</v>
      </c>
      <c r="O4" s="109">
        <f t="shared" si="0"/>
        <v>0.1205479452054794</v>
      </c>
      <c r="P4" s="10"/>
      <c r="Q4" s="10"/>
      <c r="R4" s="10"/>
      <c r="S4" s="10"/>
      <c r="T4" s="10"/>
      <c r="U4" s="10"/>
      <c r="V4" s="10"/>
      <c r="W4" s="10"/>
      <c r="X4" s="10"/>
      <c r="Y4" s="10"/>
      <c r="Z4" s="10"/>
      <c r="AA4" s="10"/>
      <c r="AB4" s="10"/>
      <c r="AC4" s="10"/>
      <c r="AD4" s="11"/>
    </row>
    <row r="5" spans="1:30" x14ac:dyDescent="0.3">
      <c r="A5" s="94">
        <v>2</v>
      </c>
      <c r="B5" s="95">
        <v>3.7499999999999999E-2</v>
      </c>
      <c r="C5" s="96">
        <v>41024</v>
      </c>
      <c r="D5" s="97">
        <v>44311</v>
      </c>
      <c r="E5" s="98">
        <v>110.64</v>
      </c>
      <c r="F5" s="99">
        <f>('NS Calculations'!$G$3-(C5-365))/365*B5*100</f>
        <v>1.4383561643835614</v>
      </c>
      <c r="G5" s="100">
        <f>E5+F5</f>
        <v>112.07835616438356</v>
      </c>
      <c r="I5" s="108">
        <f>(D5-'NS Calculations'!$G$3)/365</f>
        <v>9.6219178082191785</v>
      </c>
      <c r="J5" s="109">
        <f t="shared" si="0"/>
        <v>8.6219178082191785</v>
      </c>
      <c r="K5" s="109">
        <f t="shared" si="0"/>
        <v>7.6219178082191785</v>
      </c>
      <c r="L5" s="109">
        <f t="shared" si="0"/>
        <v>6.6219178082191785</v>
      </c>
      <c r="M5" s="109">
        <f t="shared" si="0"/>
        <v>5.6219178082191785</v>
      </c>
      <c r="N5" s="109">
        <f t="shared" si="0"/>
        <v>4.6219178082191785</v>
      </c>
      <c r="O5" s="109">
        <f t="shared" si="0"/>
        <v>3.6219178082191785</v>
      </c>
      <c r="P5" s="109">
        <f t="shared" ref="P5:R7" si="1">O5-1</f>
        <v>2.6219178082191785</v>
      </c>
      <c r="Q5" s="109">
        <f t="shared" si="1"/>
        <v>1.6219178082191785</v>
      </c>
      <c r="R5" s="109">
        <f t="shared" si="1"/>
        <v>0.62191780821917853</v>
      </c>
      <c r="S5" s="10"/>
      <c r="T5" s="10"/>
      <c r="U5" s="10"/>
      <c r="V5" s="10"/>
      <c r="W5" s="10"/>
      <c r="X5" s="10"/>
      <c r="Y5" s="10"/>
      <c r="Z5" s="10"/>
      <c r="AA5" s="10"/>
      <c r="AB5" s="10"/>
      <c r="AC5" s="10"/>
      <c r="AD5" s="11"/>
    </row>
    <row r="6" spans="1:30" x14ac:dyDescent="0.3">
      <c r="A6" s="94">
        <v>3</v>
      </c>
      <c r="B6" s="95">
        <v>3.5000000000000003E-2</v>
      </c>
      <c r="C6" s="96">
        <v>41024</v>
      </c>
      <c r="D6" s="97">
        <v>46137</v>
      </c>
      <c r="E6" s="98">
        <v>105.13</v>
      </c>
      <c r="F6" s="99">
        <f>('NS Calculations'!$G$3-(C6-365))/365*B6*100</f>
        <v>1.3424657534246576</v>
      </c>
      <c r="G6" s="100">
        <f>E6+F6</f>
        <v>106.47246575342466</v>
      </c>
      <c r="I6" s="108">
        <f>(D6-'NS Calculations'!$G$3)/365</f>
        <v>14.624657534246575</v>
      </c>
      <c r="J6" s="109">
        <f t="shared" si="0"/>
        <v>13.624657534246575</v>
      </c>
      <c r="K6" s="109">
        <f t="shared" si="0"/>
        <v>12.624657534246575</v>
      </c>
      <c r="L6" s="109">
        <f t="shared" si="0"/>
        <v>11.624657534246575</v>
      </c>
      <c r="M6" s="109">
        <f t="shared" si="0"/>
        <v>10.624657534246575</v>
      </c>
      <c r="N6" s="109">
        <f t="shared" si="0"/>
        <v>9.624657534246575</v>
      </c>
      <c r="O6" s="109">
        <f t="shared" si="0"/>
        <v>8.624657534246575</v>
      </c>
      <c r="P6" s="109">
        <f t="shared" si="1"/>
        <v>7.624657534246575</v>
      </c>
      <c r="Q6" s="109">
        <f t="shared" si="1"/>
        <v>6.624657534246575</v>
      </c>
      <c r="R6" s="109">
        <f t="shared" si="1"/>
        <v>5.624657534246575</v>
      </c>
      <c r="S6" s="109">
        <f t="shared" ref="S6:W7" si="2">R6-1</f>
        <v>4.624657534246575</v>
      </c>
      <c r="T6" s="109">
        <f t="shared" si="2"/>
        <v>3.624657534246575</v>
      </c>
      <c r="U6" s="109">
        <f t="shared" si="2"/>
        <v>2.624657534246575</v>
      </c>
      <c r="V6" s="109">
        <f t="shared" si="2"/>
        <v>1.624657534246575</v>
      </c>
      <c r="W6" s="109">
        <f t="shared" si="2"/>
        <v>0.624657534246575</v>
      </c>
      <c r="X6" s="10"/>
      <c r="Y6" s="10"/>
      <c r="Z6" s="10"/>
      <c r="AA6" s="10"/>
      <c r="AB6" s="10"/>
      <c r="AC6" s="10"/>
      <c r="AD6" s="11"/>
    </row>
    <row r="7" spans="1:30" ht="15" thickBot="1" x14ac:dyDescent="0.35">
      <c r="A7" s="101">
        <v>4</v>
      </c>
      <c r="B7" s="102">
        <v>5.7500000000000002E-2</v>
      </c>
      <c r="C7" s="103">
        <v>40841</v>
      </c>
      <c r="D7" s="104">
        <v>48512</v>
      </c>
      <c r="E7" s="105">
        <v>136.37</v>
      </c>
      <c r="F7" s="106">
        <f>('NS Calculations'!$G$3-(C7-365))/365*B7*100</f>
        <v>5.088356164383562</v>
      </c>
      <c r="G7" s="107">
        <f>E7+F7</f>
        <v>141.45835616438356</v>
      </c>
      <c r="I7" s="110">
        <f>(D7-'NS Calculations'!$G$3)/365</f>
        <v>21.13150684931507</v>
      </c>
      <c r="J7" s="111">
        <f t="shared" si="0"/>
        <v>20.13150684931507</v>
      </c>
      <c r="K7" s="111">
        <f t="shared" si="0"/>
        <v>19.13150684931507</v>
      </c>
      <c r="L7" s="111">
        <f t="shared" si="0"/>
        <v>18.13150684931507</v>
      </c>
      <c r="M7" s="111">
        <f t="shared" si="0"/>
        <v>17.13150684931507</v>
      </c>
      <c r="N7" s="111">
        <f t="shared" si="0"/>
        <v>16.13150684931507</v>
      </c>
      <c r="O7" s="111">
        <f t="shared" si="0"/>
        <v>15.13150684931507</v>
      </c>
      <c r="P7" s="111">
        <f t="shared" si="1"/>
        <v>14.13150684931507</v>
      </c>
      <c r="Q7" s="111">
        <f t="shared" si="1"/>
        <v>13.13150684931507</v>
      </c>
      <c r="R7" s="111">
        <f t="shared" si="1"/>
        <v>12.13150684931507</v>
      </c>
      <c r="S7" s="111">
        <f t="shared" si="2"/>
        <v>11.13150684931507</v>
      </c>
      <c r="T7" s="111">
        <f t="shared" si="2"/>
        <v>10.13150684931507</v>
      </c>
      <c r="U7" s="111">
        <f t="shared" si="2"/>
        <v>9.1315068493150697</v>
      </c>
      <c r="V7" s="111">
        <f t="shared" si="2"/>
        <v>8.1315068493150697</v>
      </c>
      <c r="W7" s="111">
        <f t="shared" si="2"/>
        <v>7.1315068493150697</v>
      </c>
      <c r="X7" s="111">
        <f t="shared" ref="X7:AD7" si="3">W7-1</f>
        <v>6.1315068493150697</v>
      </c>
      <c r="Y7" s="111">
        <f t="shared" si="3"/>
        <v>5.1315068493150697</v>
      </c>
      <c r="Z7" s="111">
        <f t="shared" si="3"/>
        <v>4.1315068493150697</v>
      </c>
      <c r="AA7" s="111">
        <f t="shared" si="3"/>
        <v>3.1315068493150697</v>
      </c>
      <c r="AB7" s="111">
        <f t="shared" si="3"/>
        <v>2.1315068493150697</v>
      </c>
      <c r="AC7" s="111">
        <f t="shared" si="3"/>
        <v>1.1315068493150697</v>
      </c>
      <c r="AD7" s="112">
        <f t="shared" si="3"/>
        <v>0.13150684931506973</v>
      </c>
    </row>
    <row r="11" spans="1:30" x14ac:dyDescent="0.3">
      <c r="A11" s="164" t="s">
        <v>5</v>
      </c>
      <c r="B11" s="170"/>
      <c r="C11" s="170"/>
      <c r="D11" s="171"/>
      <c r="E11" s="4"/>
      <c r="F11" s="4"/>
      <c r="G11" s="4"/>
      <c r="H11" s="5"/>
      <c r="I11" s="5"/>
    </row>
    <row r="12" spans="1:30" x14ac:dyDescent="0.3">
      <c r="A12" s="46" t="s">
        <v>21</v>
      </c>
      <c r="B12" s="46" t="s">
        <v>22</v>
      </c>
      <c r="C12" s="46" t="s">
        <v>23</v>
      </c>
      <c r="D12" s="46" t="s">
        <v>24</v>
      </c>
      <c r="E12" s="4"/>
      <c r="F12" s="4"/>
      <c r="G12" s="4"/>
      <c r="H12" s="4"/>
      <c r="I12" s="5"/>
    </row>
    <row r="13" spans="1:30" x14ac:dyDescent="0.3">
      <c r="A13" s="15">
        <v>2.7320719653406935</v>
      </c>
      <c r="B13" s="15">
        <v>4.5187398919746435E-2</v>
      </c>
      <c r="C13" s="15">
        <v>-3.8470578602035739E-2</v>
      </c>
      <c r="D13" s="15">
        <v>-3.3960289294976916E-2</v>
      </c>
      <c r="E13" s="4"/>
      <c r="F13" s="4"/>
      <c r="G13" s="4"/>
      <c r="H13" s="4"/>
      <c r="I13" s="5"/>
    </row>
    <row r="14" spans="1:30" x14ac:dyDescent="0.3">
      <c r="A14" s="2"/>
      <c r="B14" s="4"/>
      <c r="C14" s="4"/>
      <c r="D14" s="4"/>
      <c r="E14" s="4"/>
      <c r="F14" s="4"/>
      <c r="G14" s="4"/>
      <c r="H14" s="4"/>
      <c r="I14" s="4"/>
      <c r="J14" s="5"/>
      <c r="K14" s="5"/>
      <c r="L14" s="5"/>
      <c r="M14" s="5"/>
      <c r="N14" s="5"/>
      <c r="O14" s="5"/>
      <c r="P14" s="5"/>
      <c r="Q14" s="5"/>
      <c r="R14" s="5"/>
      <c r="S14" s="5"/>
      <c r="T14" s="5"/>
      <c r="U14" s="5"/>
    </row>
    <row r="15" spans="1:30" ht="15" thickBot="1" x14ac:dyDescent="0.35">
      <c r="A15" s="2"/>
      <c r="B15" s="4"/>
      <c r="C15" s="4"/>
      <c r="D15" s="4"/>
      <c r="E15" s="4"/>
      <c r="F15" s="4"/>
      <c r="G15" s="4"/>
      <c r="H15" s="4"/>
      <c r="I15" s="4"/>
      <c r="J15" s="5"/>
      <c r="K15" s="5"/>
      <c r="L15" s="5"/>
      <c r="M15" s="5"/>
      <c r="N15" s="5"/>
      <c r="O15" s="5"/>
      <c r="P15" s="5"/>
      <c r="Q15" s="5"/>
      <c r="R15" s="5"/>
      <c r="S15" s="5"/>
      <c r="T15" s="5"/>
      <c r="U15" s="5"/>
    </row>
    <row r="16" spans="1:30" ht="43.8" thickBot="1" x14ac:dyDescent="0.35">
      <c r="A16" s="43" t="s">
        <v>6</v>
      </c>
      <c r="B16" s="44" t="s">
        <v>7</v>
      </c>
      <c r="C16" s="44" t="s">
        <v>7</v>
      </c>
      <c r="D16" s="44" t="s">
        <v>7</v>
      </c>
      <c r="E16" s="44" t="s">
        <v>7</v>
      </c>
      <c r="F16" s="44" t="s">
        <v>7</v>
      </c>
      <c r="G16" s="44" t="s">
        <v>7</v>
      </c>
      <c r="H16" s="44" t="s">
        <v>7</v>
      </c>
      <c r="I16" s="44" t="s">
        <v>7</v>
      </c>
      <c r="J16" s="44" t="s">
        <v>7</v>
      </c>
      <c r="K16" s="44" t="s">
        <v>7</v>
      </c>
      <c r="L16" s="44" t="s">
        <v>7</v>
      </c>
      <c r="M16" s="44" t="s">
        <v>7</v>
      </c>
      <c r="N16" s="44" t="s">
        <v>7</v>
      </c>
      <c r="O16" s="44" t="s">
        <v>7</v>
      </c>
      <c r="P16" s="44" t="s">
        <v>7</v>
      </c>
      <c r="Q16" s="44" t="s">
        <v>7</v>
      </c>
      <c r="R16" s="44" t="s">
        <v>7</v>
      </c>
      <c r="S16" s="44" t="s">
        <v>7</v>
      </c>
      <c r="T16" s="44" t="s">
        <v>7</v>
      </c>
      <c r="U16" s="44" t="s">
        <v>7</v>
      </c>
      <c r="V16" s="44" t="s">
        <v>7</v>
      </c>
      <c r="W16" s="45" t="s">
        <v>7</v>
      </c>
    </row>
    <row r="17" spans="1:23" x14ac:dyDescent="0.3">
      <c r="A17" s="32">
        <f>(100*B4)*EXP(-O4*H17)+(100*B4)*EXP(-N4*G17)+(100*B4)*EXP(-M4*F17)+(100*B4)*EXP(-L4*E17)+(100*B4)*EXP(-K4*D17)+(100*B4)*EXP(-J4*C17)+(100+100*B4)*EXP(-I4*B17)</f>
        <v>116.85817095131961</v>
      </c>
      <c r="B17" s="55">
        <f t="shared" ref="B17:H20" si="4">$B$13+$C$13*((1-EXP(-I4/$A$13))/(I4/$A$13))+$D$13*(((1-EXP(-I4/$A$13))/(I4/$A$13))-EXP(-I4/$A$13))</f>
        <v>1.9911420513670373E-2</v>
      </c>
      <c r="C17" s="55">
        <f t="shared" si="4"/>
        <v>1.7684831644241204E-2</v>
      </c>
      <c r="D17" s="55">
        <f t="shared" si="4"/>
        <v>1.5306712968039484E-2</v>
      </c>
      <c r="E17" s="55">
        <f t="shared" si="4"/>
        <v>1.2847410136982703E-2</v>
      </c>
      <c r="F17" s="55">
        <f t="shared" si="4"/>
        <v>1.0438248058181662E-2</v>
      </c>
      <c r="G17" s="55">
        <f t="shared" si="4"/>
        <v>8.3061375884940485E-3</v>
      </c>
      <c r="H17" s="55">
        <f t="shared" si="4"/>
        <v>6.825656606858633E-3</v>
      </c>
      <c r="I17" s="33"/>
      <c r="J17" s="33"/>
      <c r="K17" s="33"/>
      <c r="L17" s="33"/>
      <c r="M17" s="34"/>
      <c r="N17" s="34"/>
      <c r="O17" s="34"/>
      <c r="P17" s="34"/>
      <c r="Q17" s="34"/>
      <c r="R17" s="34"/>
      <c r="S17" s="34"/>
      <c r="T17" s="34"/>
      <c r="U17" s="34"/>
      <c r="V17" s="35"/>
      <c r="W17" s="36"/>
    </row>
    <row r="18" spans="1:23" x14ac:dyDescent="0.3">
      <c r="A18" s="30">
        <f>(100*B5)*EXP(-R5*K18)+(100*B5)*EXP(-Q5*J18)+(100*B5)*EXP(-P5*I18)+(100*B5)*EXP(-O5*H18)+(100*B5)*EXP(-N5*G18)+(100*B5)*EXP(-M5*F18)+(100*B5)*EXP(-L5*E18)+(100*B5)*EXP(-K5*D18)+(100*B5)*EXP(-J5*C18)+(100+100*B5)*EXP(-I5*B18)</f>
        <v>111.52675514723308</v>
      </c>
      <c r="B18" s="56">
        <f t="shared" si="4"/>
        <v>2.6232180940798336E-2</v>
      </c>
      <c r="C18" s="56">
        <f t="shared" si="4"/>
        <v>2.466050197437495E-2</v>
      </c>
      <c r="D18" s="56">
        <f t="shared" si="4"/>
        <v>2.2905904341363491E-2</v>
      </c>
      <c r="E18" s="56">
        <f t="shared" si="4"/>
        <v>2.0959585668783864E-2</v>
      </c>
      <c r="F18" s="56">
        <f t="shared" si="4"/>
        <v>1.8822819569059554E-2</v>
      </c>
      <c r="G18" s="56">
        <f t="shared" si="4"/>
        <v>1.651469352713273E-2</v>
      </c>
      <c r="H18" s="56">
        <f t="shared" si="4"/>
        <v>1.4084143615428407E-2</v>
      </c>
      <c r="I18" s="56">
        <f t="shared" ref="I18:K20" si="5">$B$13+$C$13*((1-EXP(-P5/$A$13))/(P5/$A$13))+$D$13*(((1-EXP(-P5/$A$13))/(P5/$A$13))-EXP(-P5/$A$13))</f>
        <v>1.1628440781940917E-2</v>
      </c>
      <c r="J18" s="56">
        <f t="shared" si="5"/>
        <v>9.3213152570529451E-3</v>
      </c>
      <c r="K18" s="56">
        <f t="shared" si="5"/>
        <v>7.4554193657373679E-3</v>
      </c>
      <c r="L18" s="8"/>
      <c r="M18" s="8"/>
      <c r="N18" s="8"/>
      <c r="O18" s="8"/>
      <c r="P18" s="8"/>
      <c r="Q18" s="8"/>
      <c r="R18" s="8"/>
      <c r="S18" s="8"/>
      <c r="T18" s="8"/>
      <c r="U18" s="8"/>
      <c r="V18" s="8"/>
      <c r="W18" s="37"/>
    </row>
    <row r="19" spans="1:23" x14ac:dyDescent="0.3">
      <c r="A19" s="30">
        <f>(100*B6)*EXP(-W6*P19)+(100*B6)*EXP(-V6*O19)+(100*B6)*EXP(-U6*N19)+(100*B6)*EXP(-T6*M19)+(100*B6)*EXP(-S6*L19)+(100*B6)*EXP(-R6*K19)+(100*B6)*EXP(-Q6*J19)+(100*B6)*EXP(-P6*I19)+(100*B6)*EXP(-O6*H19)+(100*B6)*EXP(-N6*G19)+(100*B6)*EXP(-M6*F19)+(100*B6)*EXP(-L6*E19)+(100*B6)*EXP(-K6*D19)+(100*B6)*EXP(-J6*C19)+(100+100*B6)*EXP(-I6*B19)</f>
        <v>106.30837747055506</v>
      </c>
      <c r="B19" s="56">
        <f t="shared" si="4"/>
        <v>3.1881222461594791E-2</v>
      </c>
      <c r="C19" s="56">
        <f t="shared" si="4"/>
        <v>3.0994248077237167E-2</v>
      </c>
      <c r="D19" s="56">
        <f t="shared" si="4"/>
        <v>3.0001405629978998E-2</v>
      </c>
      <c r="E19" s="56">
        <f t="shared" si="4"/>
        <v>2.8888108227843153E-2</v>
      </c>
      <c r="F19" s="56">
        <f t="shared" si="4"/>
        <v>2.7638551575423109E-2</v>
      </c>
      <c r="G19" s="56">
        <f t="shared" si="4"/>
        <v>2.6236247770872939E-2</v>
      </c>
      <c r="H19" s="56">
        <f t="shared" si="4"/>
        <v>2.4665052280929658E-2</v>
      </c>
      <c r="I19" s="56">
        <f t="shared" si="5"/>
        <v>2.2910971094455286E-2</v>
      </c>
      <c r="J19" s="56">
        <f t="shared" si="5"/>
        <v>2.0965181995336223E-2</v>
      </c>
      <c r="K19" s="56">
        <f t="shared" si="5"/>
        <v>1.8828921997498943E-2</v>
      </c>
      <c r="L19" s="56">
        <f t="shared" ref="L19:P20" si="6">$B$13+$C$13*((1-EXP(-S6/$A$13))/(S6/$A$13))+$D$13*(((1-EXP(-S6/$A$13))/(S6/$A$13))-EXP(-S6/$A$13))</f>
        <v>1.6521215716566735E-2</v>
      </c>
      <c r="M19" s="56">
        <f t="shared" si="6"/>
        <v>1.4090895753465015E-2</v>
      </c>
      <c r="N19" s="56">
        <f t="shared" si="6"/>
        <v>1.1635067518242236E-2</v>
      </c>
      <c r="O19" s="56">
        <f t="shared" si="6"/>
        <v>9.3272016374901789E-3</v>
      </c>
      <c r="P19" s="56">
        <f t="shared" si="6"/>
        <v>7.4595492443093022E-3</v>
      </c>
      <c r="Q19" s="8"/>
      <c r="R19" s="8"/>
      <c r="S19" s="8"/>
      <c r="T19" s="8"/>
      <c r="U19" s="8"/>
      <c r="V19" s="8"/>
      <c r="W19" s="37"/>
    </row>
    <row r="20" spans="1:23" ht="15" thickBot="1" x14ac:dyDescent="0.35">
      <c r="A20" s="31">
        <f>(100*B7)*EXP(-AD7*W20)+(100*B7)*EXP(-AC7*V20)+(100*B7)*EXP(-AB7*U20)+(100*B7)*EXP(-AA7*T20)+(100*B7)*EXP(-Z7*S20)+(100*B7)*EXP(-Y7*R20)+(100*B7)*EXP(-X7*Q20)+(100*B7)*EXP(-W7*P20)+(100*B7)*EXP(-V7*O20)+(100*B7)*EXP(-U7*N20)+(100*B7)*EXP(-T7*M20)+(100*B7)*EXP(-S7*L20)+(100*B7)*EXP(-R7*K20)+(100*B7)*EXP(-Q7*J20)+(100*B7)*EXP(-P7*I20)+(100*B7)*EXP(-O7*H20)+(100*B7)*EXP(-N7*G20)+(100*B7)*EXP(-M7*F20)+(100*B7)*EXP(-L7*E20)+(100*B7)*EXP(-K7*D20)+(100*B7)*EXP(-J7*C20)+(100+100*B7)*EXP(-I7*B20)</f>
        <v>141.23273678633015</v>
      </c>
      <c r="B20" s="57">
        <f t="shared" si="4"/>
        <v>3.5841833758657869E-2</v>
      </c>
      <c r="C20" s="57">
        <f t="shared" si="4"/>
        <v>3.5385336218523002E-2</v>
      </c>
      <c r="D20" s="57">
        <f t="shared" si="4"/>
        <v>3.4884216080141563E-2</v>
      </c>
      <c r="E20" s="57">
        <f t="shared" si="4"/>
        <v>3.4332304875217129E-2</v>
      </c>
      <c r="F20" s="57">
        <f t="shared" si="4"/>
        <v>3.3722454127735065E-2</v>
      </c>
      <c r="G20" s="57">
        <f t="shared" si="4"/>
        <v>3.30463969599923E-2</v>
      </c>
      <c r="H20" s="57">
        <f t="shared" si="4"/>
        <v>3.2294608861879293E-2</v>
      </c>
      <c r="I20" s="57">
        <f t="shared" si="5"/>
        <v>3.1456181483244874E-2</v>
      </c>
      <c r="J20" s="57">
        <f t="shared" si="5"/>
        <v>3.0518733167235402E-2</v>
      </c>
      <c r="K20" s="57">
        <f t="shared" si="5"/>
        <v>2.946839521901911E-2</v>
      </c>
      <c r="L20" s="57">
        <f t="shared" si="6"/>
        <v>2.8289936315458494E-2</v>
      </c>
      <c r="M20" s="57">
        <f t="shared" si="6"/>
        <v>2.6967123025927586E-2</v>
      </c>
      <c r="N20" s="57">
        <f t="shared" si="6"/>
        <v>2.5483468063658345E-2</v>
      </c>
      <c r="O20" s="57">
        <f t="shared" si="6"/>
        <v>2.3823598354530184E-2</v>
      </c>
      <c r="P20" s="57">
        <f t="shared" si="6"/>
        <v>2.1975595132248567E-2</v>
      </c>
      <c r="Q20" s="57">
        <f t="shared" ref="Q20:W20" si="7">$B$13+$C$13*((1-EXP(-X7/$A$13))/(X7/$A$13))+$D$13*(((1-EXP(-X7/$A$13))/(X7/$A$13))-EXP(-X7/$A$13))</f>
        <v>1.9934836879071299E-2</v>
      </c>
      <c r="R20" s="57">
        <f t="shared" si="7"/>
        <v>1.7710140622131235E-2</v>
      </c>
      <c r="S20" s="57">
        <f t="shared" si="7"/>
        <v>1.5333388238732383E-2</v>
      </c>
      <c r="T20" s="57">
        <f t="shared" si="7"/>
        <v>1.2874401020753063E-2</v>
      </c>
      <c r="U20" s="57">
        <f t="shared" si="7"/>
        <v>1.0463673935703291E-2</v>
      </c>
      <c r="V20" s="57">
        <f t="shared" si="7"/>
        <v>8.326826437786785E-3</v>
      </c>
      <c r="W20" s="58">
        <f t="shared" si="7"/>
        <v>6.8364524264415858E-3</v>
      </c>
    </row>
    <row r="21" spans="1:23" ht="15" thickBot="1" x14ac:dyDescent="0.35">
      <c r="A21" s="2"/>
      <c r="B21" s="4"/>
      <c r="C21" s="4"/>
      <c r="D21" s="4"/>
      <c r="E21" s="4"/>
      <c r="F21" s="4"/>
      <c r="G21" s="4"/>
      <c r="H21" s="4"/>
      <c r="I21" s="4"/>
      <c r="J21" s="4"/>
      <c r="K21" s="4"/>
      <c r="L21" s="4"/>
      <c r="M21" s="4"/>
      <c r="N21" s="4"/>
      <c r="O21" s="4"/>
      <c r="P21" s="5"/>
      <c r="Q21" s="5"/>
      <c r="R21" s="5"/>
      <c r="S21" s="5"/>
      <c r="T21" s="5"/>
      <c r="U21" s="5"/>
    </row>
    <row r="22" spans="1:23" x14ac:dyDescent="0.3">
      <c r="A22" s="113" t="s">
        <v>8</v>
      </c>
      <c r="B22" s="114" t="s">
        <v>10</v>
      </c>
      <c r="C22" s="115" t="s">
        <v>9</v>
      </c>
      <c r="D22" s="116" t="s">
        <v>11</v>
      </c>
      <c r="E22" s="4"/>
      <c r="F22" s="4"/>
      <c r="G22" s="4"/>
      <c r="H22" s="4"/>
      <c r="I22" s="4"/>
      <c r="J22" s="4"/>
      <c r="K22" s="4"/>
      <c r="L22" s="4"/>
      <c r="M22" s="4"/>
      <c r="N22" s="4"/>
      <c r="O22" s="4"/>
      <c r="P22" s="4"/>
      <c r="Q22" s="4"/>
      <c r="R22" s="4"/>
      <c r="S22" s="4"/>
      <c r="T22" s="4"/>
      <c r="U22" s="4"/>
    </row>
    <row r="23" spans="1:23" x14ac:dyDescent="0.3">
      <c r="A23" s="22">
        <v>116.85095890410959</v>
      </c>
      <c r="B23" s="23">
        <f>A17</f>
        <v>116.85817095131961</v>
      </c>
      <c r="C23" s="24">
        <f>B23-A23</f>
        <v>7.2120472100181132E-3</v>
      </c>
      <c r="D23" s="25">
        <f>C23^2</f>
        <v>5.2013624959530048E-5</v>
      </c>
    </row>
    <row r="24" spans="1:23" x14ac:dyDescent="0.3">
      <c r="A24" s="22">
        <v>112.07835616438356</v>
      </c>
      <c r="B24" s="23">
        <f>A18</f>
        <v>111.52675514723308</v>
      </c>
      <c r="C24" s="24">
        <f>B24-A24</f>
        <v>-0.55160101715048881</v>
      </c>
      <c r="D24" s="25">
        <f>C24^2</f>
        <v>0.30426368212145388</v>
      </c>
    </row>
    <row r="25" spans="1:23" x14ac:dyDescent="0.3">
      <c r="A25" s="22">
        <v>106.47246575342466</v>
      </c>
      <c r="B25" s="23">
        <f>A19</f>
        <v>106.30837747055506</v>
      </c>
      <c r="C25" s="24">
        <f>B25-A25</f>
        <v>-0.16408828286959931</v>
      </c>
      <c r="D25" s="25">
        <f>C25^2</f>
        <v>2.6924964575093639E-2</v>
      </c>
    </row>
    <row r="26" spans="1:23" ht="15" thickBot="1" x14ac:dyDescent="0.35">
      <c r="A26" s="26">
        <v>141.45835616438356</v>
      </c>
      <c r="B26" s="27">
        <f>A20</f>
        <v>141.23273678633015</v>
      </c>
      <c r="C26" s="28">
        <f>B26-A26</f>
        <v>-0.22561937805340904</v>
      </c>
      <c r="D26" s="29">
        <f>C26^2</f>
        <v>5.0904103753207114E-2</v>
      </c>
    </row>
    <row r="27" spans="1:23" ht="15" thickBot="1" x14ac:dyDescent="0.35">
      <c r="A27" s="68"/>
      <c r="B27" s="69"/>
      <c r="C27" s="69"/>
      <c r="D27" s="70"/>
    </row>
    <row r="28" spans="1:23" ht="15" thickBot="1" x14ac:dyDescent="0.35">
      <c r="A28" s="71"/>
      <c r="B28" s="72"/>
      <c r="C28" s="74" t="s">
        <v>25</v>
      </c>
      <c r="D28" s="47">
        <f>SUM(D23:D26)</f>
        <v>0.3821447640747142</v>
      </c>
    </row>
  </sheetData>
  <mergeCells count="2">
    <mergeCell ref="A11:D11"/>
    <mergeCell ref="I3:AD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2"/>
  <sheetViews>
    <sheetView tabSelected="1" zoomScale="80" zoomScaleNormal="80" workbookViewId="0"/>
  </sheetViews>
  <sheetFormatPr defaultColWidth="11.5546875" defaultRowHeight="14.4" x14ac:dyDescent="0.3"/>
  <sheetData>
    <row r="1" spans="1:39" ht="15" thickBot="1" x14ac:dyDescent="0.35">
      <c r="D1" s="1"/>
      <c r="G1" s="117">
        <v>40799</v>
      </c>
      <c r="J1" s="3"/>
    </row>
    <row r="2" spans="1:39" ht="15" thickBot="1" x14ac:dyDescent="0.35">
      <c r="A2" s="16" t="s">
        <v>0</v>
      </c>
      <c r="B2" s="17" t="s">
        <v>18</v>
      </c>
      <c r="C2" s="17" t="s">
        <v>19</v>
      </c>
      <c r="D2" s="17" t="s">
        <v>1</v>
      </c>
      <c r="E2" s="17" t="s">
        <v>3</v>
      </c>
      <c r="F2" s="18" t="s">
        <v>4</v>
      </c>
      <c r="G2" s="19" t="s">
        <v>2</v>
      </c>
      <c r="J2" s="167" t="s">
        <v>20</v>
      </c>
      <c r="K2" s="168"/>
      <c r="L2" s="168"/>
      <c r="M2" s="168"/>
      <c r="N2" s="168"/>
      <c r="O2" s="168"/>
      <c r="P2" s="168"/>
      <c r="Q2" s="168"/>
      <c r="R2" s="168"/>
      <c r="S2" s="168"/>
      <c r="T2" s="168"/>
      <c r="U2" s="168"/>
      <c r="V2" s="168"/>
      <c r="W2" s="168"/>
      <c r="X2" s="168"/>
      <c r="Y2" s="168"/>
      <c r="Z2" s="168"/>
      <c r="AA2" s="168"/>
      <c r="AB2" s="168"/>
      <c r="AC2" s="168"/>
      <c r="AD2" s="168"/>
      <c r="AE2" s="168"/>
      <c r="AF2" s="168"/>
      <c r="AG2" s="168"/>
      <c r="AH2" s="168"/>
      <c r="AI2" s="168"/>
      <c r="AJ2" s="168"/>
      <c r="AK2" s="168"/>
      <c r="AL2" s="168"/>
      <c r="AM2" s="169"/>
    </row>
    <row r="3" spans="1:39" x14ac:dyDescent="0.3">
      <c r="A3" s="75">
        <v>1</v>
      </c>
      <c r="B3" s="76">
        <v>0.05</v>
      </c>
      <c r="C3" s="77">
        <v>41024</v>
      </c>
      <c r="D3" s="77">
        <v>41024</v>
      </c>
      <c r="E3" s="78">
        <v>102.65</v>
      </c>
      <c r="F3" s="79">
        <f ca="1">($G$3-(C3-365))/365*B3*100</f>
        <v>1.9178082191780823</v>
      </c>
      <c r="G3" s="80">
        <f ca="1">E3+F3</f>
        <v>104.56780821917809</v>
      </c>
      <c r="J3" s="88">
        <f ca="1">(D3-$G$3)/365</f>
        <v>112.10803340213923</v>
      </c>
      <c r="K3" s="92"/>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1"/>
    </row>
    <row r="4" spans="1:39" x14ac:dyDescent="0.3">
      <c r="A4" s="75">
        <v>2</v>
      </c>
      <c r="B4" s="76">
        <v>0.04</v>
      </c>
      <c r="C4" s="77">
        <v>40841</v>
      </c>
      <c r="D4" s="77">
        <v>41572</v>
      </c>
      <c r="E4" s="78">
        <v>106.23</v>
      </c>
      <c r="F4" s="79">
        <f t="shared" ref="F4:F12" ca="1" si="0">($G$3-(C4-365))/365*B4*100</f>
        <v>3.5397260273972599</v>
      </c>
      <c r="G4" s="80">
        <f t="shared" ref="G4:G12" ca="1" si="1">E4+F4</f>
        <v>109.76972602739727</v>
      </c>
      <c r="J4" s="88">
        <f t="shared" ref="J4:J12" ca="1" si="2">(D4-$G$3)/365</f>
        <v>113.60940326515293</v>
      </c>
      <c r="K4" s="89">
        <f ca="1">J4-1</f>
        <v>112.60940326515293</v>
      </c>
      <c r="L4" s="89">
        <f ca="1">K4-1</f>
        <v>111.60940326515293</v>
      </c>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1"/>
    </row>
    <row r="5" spans="1:39" x14ac:dyDescent="0.3">
      <c r="A5" s="75">
        <v>3</v>
      </c>
      <c r="B5" s="76">
        <v>0.03</v>
      </c>
      <c r="C5" s="77">
        <v>40841</v>
      </c>
      <c r="D5" s="77">
        <v>42302</v>
      </c>
      <c r="E5" s="78">
        <v>105.82</v>
      </c>
      <c r="F5" s="79">
        <f t="shared" ca="1" si="0"/>
        <v>2.6547945205479451</v>
      </c>
      <c r="G5" s="80">
        <f t="shared" ca="1" si="1"/>
        <v>108.47479452054793</v>
      </c>
      <c r="J5" s="88">
        <f t="shared" ca="1" si="2"/>
        <v>115.60940326515293</v>
      </c>
      <c r="K5" s="89">
        <f t="shared" ref="K5:Z12" ca="1" si="3">J5-1</f>
        <v>114.60940326515293</v>
      </c>
      <c r="L5" s="89">
        <f t="shared" ca="1" si="3"/>
        <v>113.60940326515293</v>
      </c>
      <c r="M5" s="89">
        <f ca="1">L5-1</f>
        <v>112.60940326515293</v>
      </c>
      <c r="N5" s="89">
        <f ca="1">M5-1</f>
        <v>111.60940326515293</v>
      </c>
      <c r="O5" s="10"/>
      <c r="P5" s="10"/>
      <c r="Q5" s="10"/>
      <c r="R5" s="10"/>
      <c r="S5" s="10"/>
      <c r="T5" s="10"/>
      <c r="U5" s="10"/>
      <c r="V5" s="10"/>
      <c r="W5" s="10"/>
      <c r="X5" s="10"/>
      <c r="Y5" s="10"/>
      <c r="Z5" s="10"/>
      <c r="AA5" s="10"/>
      <c r="AB5" s="10"/>
      <c r="AC5" s="10"/>
      <c r="AD5" s="10"/>
      <c r="AE5" s="10"/>
      <c r="AF5" s="10"/>
      <c r="AG5" s="10"/>
      <c r="AH5" s="10"/>
      <c r="AI5" s="10"/>
      <c r="AJ5" s="10"/>
      <c r="AK5" s="10"/>
      <c r="AL5" s="10"/>
      <c r="AM5" s="11"/>
    </row>
    <row r="6" spans="1:39" x14ac:dyDescent="0.3">
      <c r="A6" s="75">
        <v>4</v>
      </c>
      <c r="B6" s="76">
        <v>0.04</v>
      </c>
      <c r="C6" s="77">
        <v>41024</v>
      </c>
      <c r="D6" s="77">
        <v>43215</v>
      </c>
      <c r="E6" s="78">
        <v>111.92</v>
      </c>
      <c r="F6" s="79">
        <f t="shared" ca="1" si="0"/>
        <v>1.5342465753424657</v>
      </c>
      <c r="G6" s="80">
        <f t="shared" ca="1" si="1"/>
        <v>113.45424657534247</v>
      </c>
      <c r="J6" s="88">
        <f t="shared" ca="1" si="2"/>
        <v>118.11077312816663</v>
      </c>
      <c r="K6" s="89">
        <f t="shared" ca="1" si="3"/>
        <v>117.11077312816663</v>
      </c>
      <c r="L6" s="89">
        <f t="shared" ca="1" si="3"/>
        <v>116.11077312816663</v>
      </c>
      <c r="M6" s="89">
        <f t="shared" ca="1" si="3"/>
        <v>115.11077312816663</v>
      </c>
      <c r="N6" s="89">
        <f t="shared" ca="1" si="3"/>
        <v>114.11077312816663</v>
      </c>
      <c r="O6" s="89">
        <f ca="1">N6-1</f>
        <v>113.11077312816663</v>
      </c>
      <c r="P6" s="89">
        <f ca="1">O6-1</f>
        <v>112.11077312816663</v>
      </c>
      <c r="Q6" s="10"/>
      <c r="R6" s="10"/>
      <c r="S6" s="10"/>
      <c r="T6" s="10"/>
      <c r="U6" s="10"/>
      <c r="V6" s="10"/>
      <c r="W6" s="10"/>
      <c r="X6" s="10"/>
      <c r="Y6" s="10"/>
      <c r="Z6" s="10"/>
      <c r="AA6" s="10"/>
      <c r="AB6" s="10"/>
      <c r="AC6" s="10"/>
      <c r="AD6" s="10"/>
      <c r="AE6" s="10"/>
      <c r="AF6" s="10"/>
      <c r="AG6" s="10"/>
      <c r="AH6" s="10"/>
      <c r="AI6" s="10"/>
      <c r="AJ6" s="10"/>
      <c r="AK6" s="10"/>
      <c r="AL6" s="10"/>
      <c r="AM6" s="11"/>
    </row>
    <row r="7" spans="1:39" x14ac:dyDescent="0.3">
      <c r="A7" s="75">
        <v>5</v>
      </c>
      <c r="B7" s="76">
        <v>3.7499999999999999E-2</v>
      </c>
      <c r="C7" s="77">
        <v>40841</v>
      </c>
      <c r="D7" s="77">
        <v>43763</v>
      </c>
      <c r="E7" s="78">
        <v>110.53</v>
      </c>
      <c r="F7" s="79">
        <f t="shared" ca="1" si="0"/>
        <v>3.3184931506849313</v>
      </c>
      <c r="G7" s="80">
        <f t="shared" ca="1" si="1"/>
        <v>113.84849315068493</v>
      </c>
      <c r="J7" s="88">
        <f t="shared" ca="1" si="2"/>
        <v>119.61214299118032</v>
      </c>
      <c r="K7" s="89">
        <f t="shared" ca="1" si="3"/>
        <v>118.61214299118032</v>
      </c>
      <c r="L7" s="89">
        <f t="shared" ca="1" si="3"/>
        <v>117.61214299118032</v>
      </c>
      <c r="M7" s="89">
        <f t="shared" ca="1" si="3"/>
        <v>116.61214299118032</v>
      </c>
      <c r="N7" s="89">
        <f t="shared" ca="1" si="3"/>
        <v>115.61214299118032</v>
      </c>
      <c r="O7" s="89">
        <f t="shared" ca="1" si="3"/>
        <v>114.61214299118032</v>
      </c>
      <c r="P7" s="89">
        <f t="shared" ca="1" si="3"/>
        <v>113.61214299118032</v>
      </c>
      <c r="Q7" s="89">
        <f t="shared" ca="1" si="3"/>
        <v>112.61214299118032</v>
      </c>
      <c r="R7" s="89">
        <f t="shared" ca="1" si="3"/>
        <v>111.61214299118032</v>
      </c>
      <c r="S7" s="10"/>
      <c r="T7" s="10"/>
      <c r="U7" s="10"/>
      <c r="V7" s="10"/>
      <c r="W7" s="10"/>
      <c r="X7" s="10"/>
      <c r="Y7" s="10"/>
      <c r="Z7" s="10"/>
      <c r="AA7" s="10"/>
      <c r="AB7" s="10"/>
      <c r="AC7" s="10"/>
      <c r="AD7" s="10"/>
      <c r="AE7" s="10"/>
      <c r="AF7" s="10"/>
      <c r="AG7" s="10"/>
      <c r="AH7" s="10"/>
      <c r="AI7" s="10"/>
      <c r="AJ7" s="10"/>
      <c r="AK7" s="10"/>
      <c r="AL7" s="10"/>
      <c r="AM7" s="11"/>
    </row>
    <row r="8" spans="1:39" x14ac:dyDescent="0.3">
      <c r="A8" s="75">
        <v>6</v>
      </c>
      <c r="B8" s="76">
        <v>3.2500000000000001E-2</v>
      </c>
      <c r="C8" s="77">
        <v>40841</v>
      </c>
      <c r="D8" s="77">
        <v>44494</v>
      </c>
      <c r="E8" s="78">
        <v>105.88</v>
      </c>
      <c r="F8" s="79">
        <f t="shared" ca="1" si="0"/>
        <v>2.8760273972602741</v>
      </c>
      <c r="G8" s="80">
        <f t="shared" ca="1" si="1"/>
        <v>108.75602739726027</v>
      </c>
      <c r="J8" s="88">
        <f t="shared" ca="1" si="2"/>
        <v>121.61488271720772</v>
      </c>
      <c r="K8" s="89">
        <f t="shared" ca="1" si="3"/>
        <v>120.61488271720772</v>
      </c>
      <c r="L8" s="89">
        <f t="shared" ca="1" si="3"/>
        <v>119.61488271720772</v>
      </c>
      <c r="M8" s="89">
        <f t="shared" ca="1" si="3"/>
        <v>118.61488271720772</v>
      </c>
      <c r="N8" s="89">
        <f t="shared" ca="1" si="3"/>
        <v>117.61488271720772</v>
      </c>
      <c r="O8" s="89">
        <f t="shared" ca="1" si="3"/>
        <v>116.61488271720772</v>
      </c>
      <c r="P8" s="89">
        <f t="shared" ca="1" si="3"/>
        <v>115.61488271720772</v>
      </c>
      <c r="Q8" s="89">
        <f t="shared" ca="1" si="3"/>
        <v>114.61488271720772</v>
      </c>
      <c r="R8" s="89">
        <f t="shared" ca="1" si="3"/>
        <v>113.61488271720772</v>
      </c>
      <c r="S8" s="89">
        <f t="shared" ca="1" si="3"/>
        <v>112.61488271720772</v>
      </c>
      <c r="T8" s="89">
        <f ca="1">S8-1</f>
        <v>111.61488271720772</v>
      </c>
      <c r="U8" s="10"/>
      <c r="V8" s="10"/>
      <c r="W8" s="10"/>
      <c r="X8" s="10"/>
      <c r="Y8" s="10"/>
      <c r="Z8" s="10"/>
      <c r="AA8" s="10"/>
      <c r="AB8" s="10"/>
      <c r="AC8" s="10"/>
      <c r="AD8" s="10"/>
      <c r="AE8" s="10"/>
      <c r="AF8" s="10"/>
      <c r="AG8" s="10"/>
      <c r="AH8" s="10"/>
      <c r="AI8" s="10"/>
      <c r="AJ8" s="10"/>
      <c r="AK8" s="10"/>
      <c r="AL8" s="10"/>
      <c r="AM8" s="11"/>
    </row>
    <row r="9" spans="1:39" x14ac:dyDescent="0.3">
      <c r="A9" s="75">
        <v>7</v>
      </c>
      <c r="B9" s="76">
        <v>8.5000000000000006E-2</v>
      </c>
      <c r="C9" s="77">
        <v>41024</v>
      </c>
      <c r="D9" s="77">
        <v>45041</v>
      </c>
      <c r="E9" s="81">
        <v>156.9</v>
      </c>
      <c r="F9" s="79">
        <f t="shared" ca="1" si="0"/>
        <v>3.2602739726027394</v>
      </c>
      <c r="G9" s="80">
        <f t="shared" ca="1" si="1"/>
        <v>160.16027397260274</v>
      </c>
      <c r="J9" s="88">
        <f t="shared" ca="1" si="2"/>
        <v>123.11351285419403</v>
      </c>
      <c r="K9" s="89">
        <f t="shared" ca="1" si="3"/>
        <v>122.11351285419403</v>
      </c>
      <c r="L9" s="89">
        <f t="shared" ca="1" si="3"/>
        <v>121.11351285419403</v>
      </c>
      <c r="M9" s="89">
        <f t="shared" ca="1" si="3"/>
        <v>120.11351285419403</v>
      </c>
      <c r="N9" s="89">
        <f ca="1">M9-1</f>
        <v>119.11351285419403</v>
      </c>
      <c r="O9" s="89">
        <f t="shared" ca="1" si="3"/>
        <v>118.11351285419403</v>
      </c>
      <c r="P9" s="89">
        <f t="shared" ca="1" si="3"/>
        <v>117.11351285419403</v>
      </c>
      <c r="Q9" s="89">
        <f t="shared" ca="1" si="3"/>
        <v>116.11351285419403</v>
      </c>
      <c r="R9" s="89">
        <f t="shared" ca="1" si="3"/>
        <v>115.11351285419403</v>
      </c>
      <c r="S9" s="89">
        <f t="shared" ca="1" si="3"/>
        <v>114.11351285419403</v>
      </c>
      <c r="T9" s="89">
        <f ca="1">S9-1</f>
        <v>113.11351285419403</v>
      </c>
      <c r="U9" s="89">
        <f ca="1">T9-1</f>
        <v>112.11351285419403</v>
      </c>
      <c r="V9" s="10"/>
      <c r="W9" s="10"/>
      <c r="X9" s="10"/>
      <c r="Y9" s="10"/>
      <c r="Z9" s="10"/>
      <c r="AA9" s="10"/>
      <c r="AB9" s="10"/>
      <c r="AC9" s="10"/>
      <c r="AD9" s="10"/>
      <c r="AE9" s="10"/>
      <c r="AF9" s="10"/>
      <c r="AG9" s="10"/>
      <c r="AH9" s="10"/>
      <c r="AI9" s="10"/>
      <c r="AJ9" s="10"/>
      <c r="AK9" s="10"/>
      <c r="AL9" s="10"/>
      <c r="AM9" s="11"/>
    </row>
    <row r="10" spans="1:39" x14ac:dyDescent="0.3">
      <c r="A10" s="75">
        <v>8</v>
      </c>
      <c r="B10" s="76">
        <v>5.5E-2</v>
      </c>
      <c r="C10" s="77">
        <v>41024</v>
      </c>
      <c r="D10" s="77">
        <v>47233</v>
      </c>
      <c r="E10" s="81">
        <v>129.93</v>
      </c>
      <c r="F10" s="79">
        <f t="shared" ca="1" si="0"/>
        <v>2.10958904109589</v>
      </c>
      <c r="G10" s="80">
        <f t="shared" ca="1" si="1"/>
        <v>132.03958904109589</v>
      </c>
      <c r="J10" s="88">
        <f t="shared" ca="1" si="2"/>
        <v>129.11899230624883</v>
      </c>
      <c r="K10" s="89">
        <f t="shared" ca="1" si="3"/>
        <v>128.11899230624883</v>
      </c>
      <c r="L10" s="89">
        <f t="shared" ca="1" si="3"/>
        <v>127.11899230624883</v>
      </c>
      <c r="M10" s="89">
        <f t="shared" ca="1" si="3"/>
        <v>126.11899230624883</v>
      </c>
      <c r="N10" s="89">
        <f t="shared" ca="1" si="3"/>
        <v>125.11899230624883</v>
      </c>
      <c r="O10" s="89">
        <f t="shared" ca="1" si="3"/>
        <v>124.11899230624883</v>
      </c>
      <c r="P10" s="89">
        <f t="shared" ca="1" si="3"/>
        <v>123.11899230624883</v>
      </c>
      <c r="Q10" s="89">
        <f t="shared" ca="1" si="3"/>
        <v>122.11899230624883</v>
      </c>
      <c r="R10" s="89">
        <f t="shared" ca="1" si="3"/>
        <v>121.11899230624883</v>
      </c>
      <c r="S10" s="89">
        <f t="shared" ca="1" si="3"/>
        <v>120.11899230624883</v>
      </c>
      <c r="T10" s="89">
        <f t="shared" ca="1" si="3"/>
        <v>119.11899230624883</v>
      </c>
      <c r="U10" s="89">
        <f t="shared" ca="1" si="3"/>
        <v>118.11899230624883</v>
      </c>
      <c r="V10" s="89">
        <f t="shared" ca="1" si="3"/>
        <v>117.11899230624883</v>
      </c>
      <c r="W10" s="89">
        <f t="shared" ca="1" si="3"/>
        <v>116.11899230624883</v>
      </c>
      <c r="X10" s="89">
        <f t="shared" ca="1" si="3"/>
        <v>115.11899230624883</v>
      </c>
      <c r="Y10" s="89">
        <f t="shared" ca="1" si="3"/>
        <v>114.11899230624883</v>
      </c>
      <c r="Z10" s="89">
        <f t="shared" ca="1" si="3"/>
        <v>113.11899230624883</v>
      </c>
      <c r="AA10" s="89">
        <f t="shared" ref="AA10:AM12" ca="1" si="4">Z10-1</f>
        <v>112.11899230624883</v>
      </c>
      <c r="AB10" s="10"/>
      <c r="AC10" s="10"/>
      <c r="AD10" s="10"/>
      <c r="AE10" s="10"/>
      <c r="AF10" s="10"/>
      <c r="AG10" s="10"/>
      <c r="AH10" s="10"/>
      <c r="AI10" s="10"/>
      <c r="AJ10" s="10"/>
      <c r="AK10" s="10"/>
      <c r="AL10" s="10"/>
      <c r="AM10" s="11"/>
    </row>
    <row r="11" spans="1:39" x14ac:dyDescent="0.3">
      <c r="A11" s="75">
        <v>9</v>
      </c>
      <c r="B11" s="76">
        <v>4.7500000000000001E-2</v>
      </c>
      <c r="C11" s="77">
        <v>41024</v>
      </c>
      <c r="D11" s="77">
        <v>49424</v>
      </c>
      <c r="E11" s="81">
        <v>122.52</v>
      </c>
      <c r="F11" s="79">
        <f t="shared" ca="1" si="0"/>
        <v>1.821917808219178</v>
      </c>
      <c r="G11" s="80">
        <f t="shared" ca="1" si="1"/>
        <v>124.34191780821918</v>
      </c>
      <c r="J11" s="88">
        <f t="shared" ca="1" si="2"/>
        <v>135.12173203227621</v>
      </c>
      <c r="K11" s="89">
        <f t="shared" ca="1" si="3"/>
        <v>134.12173203227621</v>
      </c>
      <c r="L11" s="89">
        <f t="shared" ca="1" si="3"/>
        <v>133.12173203227621</v>
      </c>
      <c r="M11" s="89">
        <f t="shared" ca="1" si="3"/>
        <v>132.12173203227621</v>
      </c>
      <c r="N11" s="89">
        <f t="shared" ca="1" si="3"/>
        <v>131.12173203227621</v>
      </c>
      <c r="O11" s="89">
        <f t="shared" ca="1" si="3"/>
        <v>130.12173203227621</v>
      </c>
      <c r="P11" s="89">
        <f t="shared" ca="1" si="3"/>
        <v>129.12173203227621</v>
      </c>
      <c r="Q11" s="89">
        <f t="shared" ca="1" si="3"/>
        <v>128.12173203227621</v>
      </c>
      <c r="R11" s="89">
        <f t="shared" ca="1" si="3"/>
        <v>127.12173203227621</v>
      </c>
      <c r="S11" s="89">
        <f t="shared" ca="1" si="3"/>
        <v>126.12173203227621</v>
      </c>
      <c r="T11" s="89">
        <f t="shared" ca="1" si="3"/>
        <v>125.12173203227621</v>
      </c>
      <c r="U11" s="89">
        <f t="shared" ca="1" si="3"/>
        <v>124.12173203227621</v>
      </c>
      <c r="V11" s="89">
        <f t="shared" ca="1" si="3"/>
        <v>123.12173203227621</v>
      </c>
      <c r="W11" s="89">
        <f t="shared" ca="1" si="3"/>
        <v>122.12173203227621</v>
      </c>
      <c r="X11" s="89">
        <f t="shared" ca="1" si="3"/>
        <v>121.12173203227621</v>
      </c>
      <c r="Y11" s="89">
        <f t="shared" ca="1" si="3"/>
        <v>120.12173203227621</v>
      </c>
      <c r="Z11" s="89">
        <f t="shared" ca="1" si="3"/>
        <v>119.12173203227621</v>
      </c>
      <c r="AA11" s="89">
        <f t="shared" ca="1" si="4"/>
        <v>118.12173203227621</v>
      </c>
      <c r="AB11" s="89">
        <f t="shared" ca="1" si="4"/>
        <v>117.12173203227621</v>
      </c>
      <c r="AC11" s="89">
        <f t="shared" ca="1" si="4"/>
        <v>116.12173203227621</v>
      </c>
      <c r="AD11" s="89">
        <f t="shared" ca="1" si="4"/>
        <v>115.12173203227621</v>
      </c>
      <c r="AE11" s="89">
        <f t="shared" ca="1" si="4"/>
        <v>114.12173203227621</v>
      </c>
      <c r="AF11" s="89">
        <f t="shared" ca="1" si="4"/>
        <v>113.12173203227621</v>
      </c>
      <c r="AG11" s="89">
        <f t="shared" ca="1" si="4"/>
        <v>112.12173203227621</v>
      </c>
      <c r="AH11" s="10"/>
      <c r="AI11" s="10"/>
      <c r="AJ11" s="10"/>
      <c r="AK11" s="10"/>
      <c r="AL11" s="10"/>
      <c r="AM11" s="11"/>
    </row>
    <row r="12" spans="1:39" ht="15" thickBot="1" x14ac:dyDescent="0.35">
      <c r="A12" s="82">
        <v>10</v>
      </c>
      <c r="B12" s="83">
        <v>4.4999999999999998E-2</v>
      </c>
      <c r="C12" s="84">
        <v>41024</v>
      </c>
      <c r="D12" s="84">
        <v>51616</v>
      </c>
      <c r="E12" s="85">
        <v>119.84</v>
      </c>
      <c r="F12" s="86">
        <f t="shared" ca="1" si="0"/>
        <v>1.7260273972602738</v>
      </c>
      <c r="G12" s="87">
        <f t="shared" ca="1" si="1"/>
        <v>121.56602739726027</v>
      </c>
      <c r="J12" s="90">
        <f t="shared" ca="1" si="2"/>
        <v>141.12721148433101</v>
      </c>
      <c r="K12" s="91">
        <f t="shared" ca="1" si="3"/>
        <v>140.12721148433101</v>
      </c>
      <c r="L12" s="91">
        <f t="shared" ca="1" si="3"/>
        <v>139.12721148433101</v>
      </c>
      <c r="M12" s="91">
        <f t="shared" ca="1" si="3"/>
        <v>138.12721148433101</v>
      </c>
      <c r="N12" s="91">
        <f t="shared" ca="1" si="3"/>
        <v>137.12721148433101</v>
      </c>
      <c r="O12" s="91">
        <f t="shared" ca="1" si="3"/>
        <v>136.12721148433101</v>
      </c>
      <c r="P12" s="91">
        <f t="shared" ca="1" si="3"/>
        <v>135.12721148433101</v>
      </c>
      <c r="Q12" s="91">
        <f t="shared" ca="1" si="3"/>
        <v>134.12721148433101</v>
      </c>
      <c r="R12" s="91">
        <f t="shared" ca="1" si="3"/>
        <v>133.12721148433101</v>
      </c>
      <c r="S12" s="91">
        <f t="shared" ca="1" si="3"/>
        <v>132.12721148433101</v>
      </c>
      <c r="T12" s="91">
        <f t="shared" ca="1" si="3"/>
        <v>131.12721148433101</v>
      </c>
      <c r="U12" s="91">
        <f t="shared" ca="1" si="3"/>
        <v>130.12721148433101</v>
      </c>
      <c r="V12" s="91">
        <f t="shared" ca="1" si="3"/>
        <v>129.12721148433101</v>
      </c>
      <c r="W12" s="91">
        <f t="shared" ca="1" si="3"/>
        <v>128.12721148433101</v>
      </c>
      <c r="X12" s="91">
        <f ca="1">W12-1</f>
        <v>127.12721148433101</v>
      </c>
      <c r="Y12" s="91">
        <f ca="1">X12-1</f>
        <v>126.12721148433101</v>
      </c>
      <c r="Z12" s="91">
        <f t="shared" ca="1" si="3"/>
        <v>125.12721148433101</v>
      </c>
      <c r="AA12" s="91">
        <f t="shared" ca="1" si="4"/>
        <v>124.12721148433101</v>
      </c>
      <c r="AB12" s="91">
        <f t="shared" ca="1" si="4"/>
        <v>123.12721148433101</v>
      </c>
      <c r="AC12" s="91">
        <f t="shared" ca="1" si="4"/>
        <v>122.12721148433101</v>
      </c>
      <c r="AD12" s="91">
        <f t="shared" ca="1" si="4"/>
        <v>121.12721148433101</v>
      </c>
      <c r="AE12" s="91">
        <f t="shared" ca="1" si="4"/>
        <v>120.12721148433101</v>
      </c>
      <c r="AF12" s="91">
        <f t="shared" ca="1" si="4"/>
        <v>119.12721148433101</v>
      </c>
      <c r="AG12" s="91">
        <f t="shared" ca="1" si="4"/>
        <v>118.12721148433101</v>
      </c>
      <c r="AH12" s="91">
        <f t="shared" ca="1" si="4"/>
        <v>117.12721148433101</v>
      </c>
      <c r="AI12" s="91">
        <f t="shared" ca="1" si="4"/>
        <v>116.12721148433101</v>
      </c>
      <c r="AJ12" s="91">
        <f t="shared" ca="1" si="4"/>
        <v>115.12721148433101</v>
      </c>
      <c r="AK12" s="91">
        <f t="shared" ca="1" si="4"/>
        <v>114.12721148433101</v>
      </c>
      <c r="AL12" s="91">
        <f t="shared" ca="1" si="4"/>
        <v>113.12721148433101</v>
      </c>
      <c r="AM12" s="93">
        <f t="shared" ca="1" si="4"/>
        <v>112.12721148433101</v>
      </c>
    </row>
  </sheetData>
  <mergeCells count="1">
    <mergeCell ref="J2:A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NS Calculations</vt:lpstr>
      <vt:lpstr>Fairly Priced Bonds</vt:lpstr>
      <vt:lpstr>Feuil1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2011-11-23T14:01:10Z</dcterms:modified>
</cp:coreProperties>
</file>