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ao\Google Drive\Emerge.me\Risk Rater\Result Cost\"/>
    </mc:Choice>
  </mc:AlternateContent>
  <bookViews>
    <workbookView xWindow="0" yWindow="0" windowWidth="28800" windowHeight="12135" tabRatio="900"/>
  </bookViews>
  <sheets>
    <sheet name="Recommendation" sheetId="26" r:id="rId1"/>
    <sheet name="Medical Inflation" sheetId="12" r:id="rId2"/>
    <sheet name="MEPS" sheetId="8" r:id="rId3"/>
    <sheet name="Cancer 1" sheetId="7" r:id="rId4"/>
    <sheet name="Cancer 2" sheetId="14" r:id="rId5"/>
    <sheet name="Cancer In Situ" sheetId="15" r:id="rId6"/>
    <sheet name="Heart Attack" sheetId="16" r:id="rId7"/>
    <sheet name="Coronary Bypass" sheetId="17" r:id="rId8"/>
    <sheet name="Stroke" sheetId="18" r:id="rId9"/>
    <sheet name="Transplant" sheetId="11" r:id="rId10"/>
    <sheet name="Renal" sheetId="19" r:id="rId11"/>
    <sheet name="Paralysis" sheetId="21" r:id="rId12"/>
    <sheet name="Coma" sheetId="20" r:id="rId13"/>
    <sheet name="Blindness" sheetId="22" r:id="rId14"/>
    <sheet name="MS" sheetId="13" r:id="rId15"/>
    <sheet name="Miscellaneous Cost" sheetId="25" r:id="rId16"/>
    <sheet name="Right of Use" sheetId="23" r:id="rId17"/>
    <sheet name="Note" sheetId="24" r:id="rId1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2" l="1"/>
  <c r="D4" i="12"/>
  <c r="D5" i="12"/>
  <c r="D6" i="12"/>
  <c r="D7" i="12"/>
  <c r="D8" i="12"/>
  <c r="D9" i="12"/>
  <c r="D10" i="12"/>
  <c r="D11" i="12"/>
  <c r="D12" i="12"/>
  <c r="D13" i="12"/>
  <c r="D14" i="12"/>
  <c r="D15" i="12"/>
  <c r="D16" i="12"/>
  <c r="D17" i="12"/>
  <c r="D18" i="12"/>
  <c r="D19" i="12"/>
  <c r="D20" i="12"/>
  <c r="D21" i="12"/>
  <c r="D22" i="12"/>
  <c r="D23" i="12"/>
  <c r="D24" i="12"/>
  <c r="D25" i="12"/>
  <c r="D26" i="12"/>
  <c r="D27" i="12"/>
  <c r="D28" i="12"/>
  <c r="E28" i="12" s="1"/>
  <c r="D2" i="12"/>
  <c r="H28" i="20" l="1"/>
  <c r="C12" i="26" l="1"/>
  <c r="L34" i="18" l="1"/>
  <c r="L35" i="18"/>
  <c r="L36" i="18"/>
  <c r="L37" i="18"/>
  <c r="L41" i="18"/>
  <c r="L42" i="18"/>
  <c r="L43" i="18"/>
  <c r="L44" i="18"/>
  <c r="L48" i="18"/>
  <c r="L49" i="18"/>
  <c r="L50" i="18"/>
  <c r="L51" i="18"/>
  <c r="I62" i="18" l="1"/>
  <c r="C58" i="18" s="1"/>
  <c r="O36" i="18" l="1"/>
  <c r="P36" i="18"/>
  <c r="Q36" i="18" l="1"/>
  <c r="Q37" i="18" s="1"/>
  <c r="C28" i="18" l="1"/>
  <c r="H23" i="21"/>
  <c r="H24" i="21" s="1"/>
  <c r="G24" i="20"/>
  <c r="C19" i="20" s="1"/>
  <c r="C14" i="22" l="1"/>
  <c r="N20" i="22"/>
  <c r="I8" i="21"/>
  <c r="C2" i="21" s="1"/>
  <c r="G5" i="20"/>
  <c r="G19" i="17"/>
  <c r="C2" i="20" l="1"/>
  <c r="C12" i="17"/>
  <c r="N22" i="22"/>
  <c r="N23" i="22"/>
  <c r="N21" i="22"/>
  <c r="I44" i="11"/>
  <c r="H9" i="18"/>
  <c r="C5" i="18" s="1"/>
  <c r="J43" i="15"/>
  <c r="J48" i="14"/>
  <c r="I30" i="15"/>
  <c r="C22" i="15" s="1"/>
  <c r="C36" i="11" l="1"/>
  <c r="I26" i="14"/>
  <c r="J26" i="14"/>
  <c r="H26" i="14"/>
  <c r="E2" i="12"/>
  <c r="E3" i="12"/>
  <c r="E4" i="12"/>
  <c r="E5" i="12"/>
  <c r="E6" i="12"/>
  <c r="E7" i="12"/>
  <c r="E8" i="12"/>
  <c r="E9" i="12"/>
  <c r="E10" i="12"/>
  <c r="E11" i="12"/>
  <c r="O5" i="7"/>
  <c r="O6" i="7"/>
  <c r="O7" i="7"/>
  <c r="O8" i="7"/>
  <c r="O9" i="7"/>
  <c r="O10" i="7"/>
  <c r="O11" i="7"/>
  <c r="O12" i="7"/>
  <c r="O13" i="7"/>
  <c r="O14" i="7"/>
  <c r="O15" i="7"/>
  <c r="O17" i="7"/>
  <c r="O18" i="7"/>
  <c r="O19" i="7"/>
  <c r="O20" i="7"/>
  <c r="O21" i="7"/>
  <c r="O4" i="7"/>
  <c r="K5" i="7"/>
  <c r="K6" i="7"/>
  <c r="K7" i="7"/>
  <c r="K8" i="7"/>
  <c r="K9" i="7"/>
  <c r="K10" i="7"/>
  <c r="K11" i="7"/>
  <c r="K12" i="7"/>
  <c r="K13" i="7"/>
  <c r="K14" i="7"/>
  <c r="K15" i="7"/>
  <c r="K17" i="7"/>
  <c r="K18" i="7"/>
  <c r="K19" i="7"/>
  <c r="K20" i="7"/>
  <c r="K21" i="7"/>
  <c r="K4" i="7"/>
  <c r="N16" i="7"/>
  <c r="N22" i="7" s="1"/>
  <c r="J16" i="7"/>
  <c r="J22" i="7" s="1"/>
  <c r="K16" i="7" l="1"/>
  <c r="K22" i="7" s="1"/>
  <c r="K23" i="7" s="1"/>
  <c r="O16" i="7"/>
  <c r="O22" i="7" s="1"/>
  <c r="O23" i="7" s="1"/>
  <c r="I18" i="14" l="1"/>
  <c r="E13" i="12"/>
  <c r="E14" i="12"/>
  <c r="E15" i="12"/>
  <c r="E16" i="12"/>
  <c r="E17" i="12"/>
  <c r="E18" i="12"/>
  <c r="E19" i="12"/>
  <c r="E20" i="12"/>
  <c r="E21" i="12"/>
  <c r="E22" i="12"/>
  <c r="E23" i="12"/>
  <c r="E24" i="12"/>
  <c r="E25" i="12"/>
  <c r="E26" i="12"/>
  <c r="E27" i="12"/>
  <c r="E12" i="12"/>
  <c r="I8" i="16"/>
  <c r="J8" i="16"/>
  <c r="H8" i="16"/>
  <c r="I4" i="14"/>
  <c r="G17" i="12" l="1"/>
  <c r="F17" i="12"/>
  <c r="F27" i="12"/>
  <c r="I9" i="14" s="1"/>
  <c r="B2" i="26" s="1"/>
  <c r="C2" i="26" s="1"/>
  <c r="G27" i="12"/>
  <c r="G26" i="12"/>
  <c r="F26" i="12"/>
  <c r="H16" i="21" s="1"/>
  <c r="B9" i="26" s="1"/>
  <c r="C9" i="26" s="1"/>
  <c r="G25" i="12"/>
  <c r="F25" i="12"/>
  <c r="K14" i="19" s="1"/>
  <c r="B8" i="26" s="1"/>
  <c r="C8" i="26" s="1"/>
  <c r="G24" i="12"/>
  <c r="F24" i="12"/>
  <c r="H45" i="11" s="1"/>
  <c r="B7" i="26" s="1"/>
  <c r="C7" i="26" s="1"/>
  <c r="G16" i="12"/>
  <c r="F16" i="12"/>
  <c r="F19" i="12"/>
  <c r="G19" i="12"/>
  <c r="G23" i="12"/>
  <c r="F23" i="12"/>
  <c r="G15" i="12"/>
  <c r="F15" i="12"/>
  <c r="G14" i="12"/>
  <c r="F14" i="12"/>
  <c r="G22" i="12"/>
  <c r="F22" i="12"/>
  <c r="G21" i="12"/>
  <c r="F21" i="12"/>
  <c r="H29" i="20" s="1"/>
  <c r="B10" i="26" s="1"/>
  <c r="C10" i="26" s="1"/>
  <c r="G13" i="12"/>
  <c r="F13" i="12"/>
  <c r="F18" i="12"/>
  <c r="G18" i="12"/>
  <c r="F12" i="12"/>
  <c r="G12" i="12"/>
  <c r="F2" i="12"/>
  <c r="Q39" i="18" s="1"/>
  <c r="B6" i="26" s="1"/>
  <c r="C6" i="26" s="1"/>
  <c r="G7" i="12"/>
  <c r="G5" i="12"/>
  <c r="F5" i="12"/>
  <c r="G2" i="12"/>
  <c r="F7" i="12"/>
  <c r="G9" i="12"/>
  <c r="G6" i="12"/>
  <c r="F4" i="12"/>
  <c r="M27" i="15" s="1"/>
  <c r="M29" i="15" s="1"/>
  <c r="B3" i="26" s="1"/>
  <c r="C3" i="26" s="1"/>
  <c r="G8" i="12"/>
  <c r="F9" i="12"/>
  <c r="H5" i="20" s="1"/>
  <c r="F6" i="12"/>
  <c r="G4" i="12"/>
  <c r="F3" i="12"/>
  <c r="F8" i="12"/>
  <c r="G3" i="12"/>
  <c r="F11" i="12"/>
  <c r="F10" i="12"/>
  <c r="G11" i="12"/>
  <c r="G10" i="12"/>
  <c r="F20" i="12"/>
  <c r="G20" i="12"/>
  <c r="C2" i="14"/>
  <c r="H25" i="13"/>
  <c r="H18" i="13"/>
  <c r="I48" i="7"/>
  <c r="H48" i="7"/>
  <c r="I47" i="7"/>
  <c r="H47" i="7"/>
  <c r="H15" i="16" l="1"/>
  <c r="B4" i="26" s="1"/>
  <c r="H20" i="17"/>
  <c r="B5" i="26" s="1"/>
  <c r="C5" i="26" s="1"/>
  <c r="C6" i="13"/>
  <c r="H20" i="13"/>
  <c r="H26" i="18"/>
  <c r="H26" i="22"/>
  <c r="B11" i="26" s="1"/>
  <c r="C11" i="26" s="1"/>
  <c r="L8" i="8"/>
  <c r="L11" i="8"/>
  <c r="L2" i="8"/>
  <c r="J5" i="11"/>
  <c r="J6" i="11"/>
  <c r="J7" i="11"/>
  <c r="J8" i="11"/>
  <c r="J9" i="11"/>
  <c r="J10" i="11"/>
  <c r="J11" i="11"/>
  <c r="J12" i="11"/>
  <c r="J13" i="11"/>
  <c r="J14" i="11"/>
  <c r="J15" i="11"/>
  <c r="J16" i="11"/>
  <c r="J17" i="11"/>
  <c r="J18" i="11"/>
  <c r="J4" i="11"/>
  <c r="H19" i="11"/>
  <c r="B27" i="26" l="1"/>
  <c r="C4" i="26"/>
  <c r="J19" i="11"/>
  <c r="J20" i="11" s="1"/>
  <c r="C2" i="11" s="1"/>
  <c r="L48" i="7"/>
  <c r="O47" i="7" s="1"/>
  <c r="K48" i="7"/>
  <c r="N48" i="7" s="1"/>
  <c r="J48" i="7"/>
  <c r="M48" i="7" s="1"/>
  <c r="L47" i="7"/>
  <c r="K47" i="7"/>
  <c r="J47" i="7"/>
  <c r="O48" i="7" l="1"/>
  <c r="M47" i="7"/>
  <c r="N47" i="7"/>
</calcChain>
</file>

<file path=xl/sharedStrings.xml><?xml version="1.0" encoding="utf-8"?>
<sst xmlns="http://schemas.openxmlformats.org/spreadsheetml/2006/main" count="842" uniqueCount="516">
  <si>
    <t>Stroke</t>
  </si>
  <si>
    <t>Cancer</t>
  </si>
  <si>
    <t>Other</t>
  </si>
  <si>
    <t>Private</t>
  </si>
  <si>
    <t>Initial Year</t>
  </si>
  <si>
    <t>Year</t>
  </si>
  <si>
    <t>Heart Attack</t>
  </si>
  <si>
    <t>http://www.ncbi.nlm.nih.gov/pmc/articles/PMC3128441/</t>
  </si>
  <si>
    <t>95% of the survey participants are under 65, so the research primarily focus on working class</t>
  </si>
  <si>
    <t>This is on going expense in twelve month, not just the first year</t>
  </si>
  <si>
    <t>Cancer in Situ</t>
  </si>
  <si>
    <t>Blindness</t>
  </si>
  <si>
    <t>Coma</t>
  </si>
  <si>
    <t>Coronary Bypass</t>
  </si>
  <si>
    <t>End Stage Renal Failure</t>
  </si>
  <si>
    <t>Major Organ Transplant</t>
  </si>
  <si>
    <t>Paralysis</t>
  </si>
  <si>
    <t>http://costprojections.cancer.gov/graph.php</t>
  </si>
  <si>
    <t>Assume 3% inflation, trend incident, trend survival</t>
  </si>
  <si>
    <t>MS</t>
  </si>
  <si>
    <t>http://www.milliman.com/uploadedFiles/insight/Research/health-rr/1938HDP_20141230.pdf</t>
  </si>
  <si>
    <t>http://www.ncbi.nlm.nih.gov/pubmed/21777161</t>
  </si>
  <si>
    <t>Journal of Medical Economic</t>
  </si>
  <si>
    <t>http://www.hcup-us.ahrq.gov/reports/statbriefs/sb51.pdf</t>
  </si>
  <si>
    <t>Bladder</t>
  </si>
  <si>
    <t>Brain</t>
  </si>
  <si>
    <t>Breast</t>
  </si>
  <si>
    <t>Cervix</t>
  </si>
  <si>
    <t>Colorectal</t>
  </si>
  <si>
    <t>Esophagus</t>
  </si>
  <si>
    <t>Head and neck</t>
  </si>
  <si>
    <t>Kidney</t>
  </si>
  <si>
    <t>Leukemia</t>
  </si>
  <si>
    <t>Lung</t>
  </si>
  <si>
    <t>Lymphoma</t>
  </si>
  <si>
    <t>Melanoma</t>
  </si>
  <si>
    <t>Ovary</t>
  </si>
  <si>
    <t>Pancreas</t>
  </si>
  <si>
    <t>Stomach</t>
  </si>
  <si>
    <t>Uterus</t>
  </si>
  <si>
    <t>average</t>
  </si>
  <si>
    <t>median</t>
  </si>
  <si>
    <t>Prostate</t>
  </si>
  <si>
    <t>BACKGROUND:</t>
  </si>
  <si>
    <t>Current estimates of the costs of cancer care in the United States are based on data from 2003 and earlier. However, incidence, survival, and practice patterns have been changing for the majority of cancers.</t>
  </si>
  <si>
    <t>METHODS:</t>
  </si>
  <si>
    <t>Cancer prevalence was estimated and projected by phase of care (initial year following diagnosis, continuing, and last year of life) and tumor site for 13 cancers in men and 16 cancers in women through 2020. Cancer prevalence was calculated from cancer incidence and survival models estimated from Surveillance, Epidemiology, and End Results (SEER) Program data. Annualized net costs were estimated from recent SEER-Medicare linkage data, which included claims through 2006 among beneficiaries aged 65 years and older with a cancer diagnosis. Control subjects without cancer were identified from a 5% random sample of all Medicare beneficiaries residing in the SEER areas to adjust for expenditures not related to cancer. All cost estimates were adjusted to 2010 dollars. Different scenarios for assumptions about future trends in incidence, survival, and cost were assessed with sensitivity analysis.</t>
  </si>
  <si>
    <t>RESULTS:</t>
  </si>
  <si>
    <t>Assuming constant incidence, survival, and cost, we projected 13.8 and 18.1 million cancer survivors in 2010 and 2020, respectively, with associated costs of cancer care of 124.57 and 157.77 billion 2010 US dollars. This 27% increase in medical costs reflects US population changes only. The largest increases were in the continuing phase of care for prostate cancer (42%) and female breast cancer (32%). Projections of current trends in incidence (declining) and survival (increasing) had small effects on 2020 estimates. However, if costs of care increase annually by 2% in the initial and last year of life phases of care, the total cost in 2020 is projected to be $173 billion, which represents a 39% increase from 2010.</t>
  </si>
  <si>
    <t>CONCLUSIONS:</t>
  </si>
  <si>
    <t>The national cost of cancer care is substantial and expected to increase because of population changes alone. Our findings have implications for policy makers in planning and allocation of resources.</t>
  </si>
  <si>
    <t>Cancer prevalence was estimated and projected by tumor site through 2020 using incidence and survival data from the Surveillance, Epidemiology, and End Results (SEER) Program and population projections from the U.S. Census Bureau. Annualized net costs of care were estimated using Medicare claims linked to SEER data and adjusted to represent costs in 2010 US dollars.</t>
  </si>
  <si>
    <t>Emerge.me medical condition covered</t>
  </si>
  <si>
    <t>ICD-9 Code for Medical Condition</t>
  </si>
  <si>
    <t>Corresponding Clinical Classification Code (CCS)</t>
  </si>
  <si>
    <t>CCS Category in MEPS Survey</t>
  </si>
  <si>
    <t>140 to 209.36</t>
  </si>
  <si>
    <t>11 to 45</t>
  </si>
  <si>
    <t>Cancer: 11 to 45</t>
  </si>
  <si>
    <t>230 to 239.9</t>
  </si>
  <si>
    <t xml:space="preserve">mainly 44 </t>
  </si>
  <si>
    <t>blended in 11 to 45</t>
  </si>
  <si>
    <t>Other eye disorders: 87, 89-91</t>
  </si>
  <si>
    <t>not found</t>
  </si>
  <si>
    <t>414 to 414.9</t>
  </si>
  <si>
    <t>blended in heart conditions 96,97, 100 to 108</t>
  </si>
  <si>
    <t>585.1 to 585.9</t>
  </si>
  <si>
    <t>Kidney Disease:  156 to 158, 160, 161</t>
  </si>
  <si>
    <t>Heart Conditions:  96,97, 100 to 108</t>
  </si>
  <si>
    <t>V42.0</t>
  </si>
  <si>
    <t>158?</t>
  </si>
  <si>
    <t>use kidney?</t>
  </si>
  <si>
    <t>Cerebrovascular disease: 109 to 113</t>
  </si>
  <si>
    <t>Type</t>
  </si>
  <si>
    <t>Number of Cases</t>
  </si>
  <si>
    <t>Charge</t>
  </si>
  <si>
    <t>Bone Marrow-allogeneic</t>
  </si>
  <si>
    <t>bone marrow-autologous</t>
  </si>
  <si>
    <t>heart</t>
  </si>
  <si>
    <t>intestine</t>
  </si>
  <si>
    <t>kidney</t>
  </si>
  <si>
    <t>liver</t>
  </si>
  <si>
    <t>lung-single</t>
  </si>
  <si>
    <t>lung-double</t>
  </si>
  <si>
    <t>pancreas</t>
  </si>
  <si>
    <t>heart-lung</t>
  </si>
  <si>
    <t>intestine with other organ</t>
  </si>
  <si>
    <t>kidney-heart</t>
  </si>
  <si>
    <t>kidney-pancreas</t>
  </si>
  <si>
    <t>liver-kidney</t>
  </si>
  <si>
    <t>other multi-organ</t>
  </si>
  <si>
    <t>Total</t>
  </si>
  <si>
    <t>Source</t>
  </si>
  <si>
    <t>Note</t>
  </si>
  <si>
    <t>Annual Inflation</t>
  </si>
  <si>
    <t>The inflation data point reflect the average inflation from year to year</t>
  </si>
  <si>
    <t>http://data.bls.gov/pdq/SurveyOutputServlet</t>
  </si>
  <si>
    <t>Yes</t>
  </si>
  <si>
    <t>No</t>
  </si>
  <si>
    <t>Maybe</t>
  </si>
  <si>
    <t>Outpatient</t>
  </si>
  <si>
    <t>Inpatient</t>
  </si>
  <si>
    <t>Emergency</t>
  </si>
  <si>
    <t>Medicines</t>
  </si>
  <si>
    <t>Home Health</t>
  </si>
  <si>
    <t>Any Service</t>
  </si>
  <si>
    <t>Sum</t>
  </si>
  <si>
    <t>Mean Expenses per Person with Care for Selected Conditions by Type of Service: United States, Average Annual 2012-2013</t>
  </si>
  <si>
    <t>http://meps.ahrq.gov/mepsweb/data_stats/tables_compendia_hh_interactive.jsp?_SERVICE=MEPSSocket0&amp;_PROGRAM=MEPSPGM.TC.SAS&amp;File=HC2Y2013&amp;Table=HC2Y2013_CNDXP_CA&amp;_Debug=</t>
  </si>
  <si>
    <t>National Cancer Institute, US National Institutes of Health</t>
  </si>
  <si>
    <t>http://costprojections.cancer.gov/annual.costs.html</t>
  </si>
  <si>
    <t>The number is based on the median/average of different cancer types, not median/average of the population</t>
  </si>
  <si>
    <t>Initial Female</t>
  </si>
  <si>
    <t>Initial Male</t>
  </si>
  <si>
    <t>Continuing Female</t>
  </si>
  <si>
    <t>Continuing Male</t>
  </si>
  <si>
    <t>http://jnci.oxfordjournals.org/content/103/2/117.full.pdf</t>
  </si>
  <si>
    <t>Other sources</t>
  </si>
  <si>
    <r>
      <t xml:space="preserve">Costs of treating patients with MS using </t>
    </r>
    <r>
      <rPr>
        <u/>
        <sz val="11"/>
        <color theme="1"/>
        <rFont val="Calibri"/>
        <family val="2"/>
        <scheme val="minor"/>
      </rPr>
      <t>natalizumab</t>
    </r>
    <r>
      <rPr>
        <sz val="11"/>
        <color theme="1"/>
        <rFont val="Calibri"/>
        <family val="2"/>
        <scheme val="minor"/>
      </rPr>
      <t xml:space="preserve"> included drug acquisition costs, administration and monitoring costs, and costs of treating MS relapses</t>
    </r>
  </si>
  <si>
    <t>Cost</t>
  </si>
  <si>
    <t>The cost published by the study is a two years cost, so the data point used by emerge is halved</t>
  </si>
  <si>
    <t>Interferon-β-1b (Betaseron)</t>
  </si>
  <si>
    <t>Interferon-β-1a IM (Avonex)</t>
  </si>
  <si>
    <t>Glatiramer acetate (Copaxone)</t>
  </si>
  <si>
    <t>Interferon-β-1a SC (Rebif)</t>
  </si>
  <si>
    <t>Natalizumab (Tysabri)</t>
  </si>
  <si>
    <t>Interferon-β-1b (Extavia)</t>
  </si>
  <si>
    <t>Fingolimod (Gilenya)</t>
  </si>
  <si>
    <t>Teriflunomide (Aubagio)</t>
  </si>
  <si>
    <t>Dimethyl fumarate (Tecfidera)</t>
  </si>
  <si>
    <t>http://www.npr.org/sections/health-shots/2015/05/25/408021704/multiple-sclerosis-patients-stressed-out-by-soaring-drug-costs</t>
  </si>
  <si>
    <t>Average</t>
  </si>
  <si>
    <t>Rocky Mountain MS Center</t>
  </si>
  <si>
    <t>The medications used to treat MS cost between $20,000 and $30,000 per year and the cost for treatment of a disease flare-up is estimated at $12,870. </t>
  </si>
  <si>
    <t>The direct and indirect costs of MS are now estimated at $57,500 per patient per year. </t>
  </si>
  <si>
    <t>unknown</t>
  </si>
  <si>
    <t>Loss productivity=(57500-42870)/160</t>
  </si>
  <si>
    <t>91 Days</t>
  </si>
  <si>
    <t>2012-2013</t>
  </si>
  <si>
    <t>Source Type</t>
  </si>
  <si>
    <t>Initial Half year</t>
  </si>
  <si>
    <t>Initial Hospitalization</t>
  </si>
  <si>
    <t>http://www.ncbi.nlm.nih.gov/pubmed/25911108</t>
  </si>
  <si>
    <t>Neurology</t>
  </si>
  <si>
    <t>The official Journal of American Academy of Neurology</t>
  </si>
  <si>
    <t>2008 Milliman Study</t>
  </si>
  <si>
    <t>This number is strange. I look up the original source used by the study and find the number to be close to the 2014 Milliman transplant report. So I don’t know where did Milliman come up with $51000.</t>
  </si>
  <si>
    <t>Data Type</t>
  </si>
  <si>
    <t>Initial Half Year</t>
  </si>
  <si>
    <t>Academic</t>
  </si>
  <si>
    <t>All Patient</t>
  </si>
  <si>
    <t>This is a very bad estimate</t>
  </si>
  <si>
    <t>government</t>
  </si>
  <si>
    <t>National Cancer Institute Cost Projection</t>
  </si>
  <si>
    <t>Government</t>
  </si>
  <si>
    <t>Total Cost</t>
  </si>
  <si>
    <t>Number of Patient</t>
  </si>
  <si>
    <t>Milliman</t>
  </si>
  <si>
    <t>Initial 30 Days</t>
  </si>
  <si>
    <t>Mild Ischemic Stroke</t>
  </si>
  <si>
    <t>1989?</t>
  </si>
  <si>
    <t>Severe Ischemic Stroke</t>
  </si>
  <si>
    <t>AHA</t>
  </si>
  <si>
    <t>AHA 2015</t>
  </si>
  <si>
    <t>Coronary Artery Bypass</t>
  </si>
  <si>
    <t>Short term disability claims</t>
  </si>
  <si>
    <t>Absenteenism Cost</t>
  </si>
  <si>
    <t>Medical management</t>
  </si>
  <si>
    <t>Treated With</t>
  </si>
  <si>
    <t>using adults 18 to 64 years of age who had a principal</t>
  </si>
  <si>
    <t>inpatient diagnosis of ACS during 2003 to 2006 estimated</t>
  </si>
  <si>
    <t xml:space="preserve">Note </t>
  </si>
  <si>
    <t>Each category in MEPS is calculated independently. For example, the sample size for outpatient may be 1000, but sample size for inpatient may be only 100</t>
  </si>
  <si>
    <t xml:space="preserve">Since we are concern with the cost of more severed condition, adding all category together is a wise choice, and category such as inpatient should </t>
  </si>
  <si>
    <t>only contain severe illness, but note that number in categories such as outpaitent may be lower than it would be for a severe illness because minor illness</t>
  </si>
  <si>
    <t>MEPS takes into account data from patients with continuing condition and those patients who are in their first year of diagnosis</t>
  </si>
  <si>
    <t>So for someone with minor heart condition, they may only have outpatient expense, while for someone with heart attack, they will have every category of expense</t>
  </si>
  <si>
    <t xml:space="preserve">is also blended in. In conclusion, for emerge's purpose, the number in MEPS is slightly smaller than what we want </t>
  </si>
  <si>
    <t>Initial Hospitalization Charge</t>
  </si>
  <si>
    <t>HCUP data</t>
  </si>
  <si>
    <t>This data include all coronary bypass done in the US, including those used to rescue heart attack patients</t>
  </si>
  <si>
    <t>I guess the reason that this cost (149480) is higher than the cost (86914) of bypass used in treating heart attack patients is that</t>
  </si>
  <si>
    <t>National Health Service UK</t>
  </si>
  <si>
    <t>http://www.nhs.uk/conditions/Coronary-artery-bypass/pages/recovery.aspx</t>
  </si>
  <si>
    <t>"If you are recovering well and your job is not physically strenuous, you can usually go back to work in about six to eight weeks"</t>
  </si>
  <si>
    <t>that the incremental annual direct cost was $40671</t>
  </si>
  <si>
    <t>http://newsroom.heart.org/news/heart-attack-packs-a-wallop-to-239563</t>
  </si>
  <si>
    <t>Workers with ACS lost 60.2 days of work in the short term and 397 days in the long term.</t>
  </si>
  <si>
    <t>For employers, disability costs outweighed direct costs. The estimated per claim productivity loss for short-term disability was $7,943 and $52,473 for long-term disability.</t>
  </si>
  <si>
    <t>http://jop.ascopubs.org/content/early/2015/08/07/JOP.2015.005694.abstract</t>
  </si>
  <si>
    <t>http://jnci.oxfordjournals.org/content/93/6/447.full</t>
  </si>
  <si>
    <t>https://www.health.govt.nz/system/files/documents/publications/the-price-of-cancer-0811.pdf</t>
  </si>
  <si>
    <t xml:space="preserve">For cancer in situ, according to wikipedia, depending on the location, treatment can include endoscope, excision, and radiation. </t>
  </si>
  <si>
    <t>Note that all the treatments stated in the above two studies are intended to treat early stage cancer, no cancer in situ, so the actual cost may be a bit lower</t>
  </si>
  <si>
    <t>According to wikipedia, The most common form of cancer in situ is Ductal carcinoma in situ, which is usually treated with lumpectomy plus radiation.</t>
  </si>
  <si>
    <t>Also Treatment for Ductal carcinoma in situ seems to be one of the more expense cancer in situ, other may be cheaper</t>
  </si>
  <si>
    <t>This number is for cancer without chemotherapy and surgery.</t>
  </si>
  <si>
    <t>So technically this number is not for cancer in situ</t>
  </si>
  <si>
    <t>Lost productivity for cancer is measure as $1601 to the employer</t>
  </si>
  <si>
    <t xml:space="preserve">Since average hourly wages plus benefits for civilian workers in the United States in 2008 is $29.18 per hour </t>
  </si>
  <si>
    <t>HCUP</t>
  </si>
  <si>
    <t>Initial Maile</t>
  </si>
  <si>
    <t>Last Year of Life Cancer Death Male</t>
  </si>
  <si>
    <t>Last Year of Life Other Cause male</t>
  </si>
  <si>
    <t>Last Year of Life Cancer Death Female</t>
  </si>
  <si>
    <t>Last Year of Life Other Cause Female</t>
  </si>
  <si>
    <t>Age&lt; 65</t>
  </si>
  <si>
    <t>Age&gt;=65</t>
  </si>
  <si>
    <t>Number of Incidence in 1,000</t>
  </si>
  <si>
    <t>The that the average of this number is same as the (total cost divide by prevalence) given in the NCI cost projection for 2010.</t>
  </si>
  <si>
    <t>Given the cross comparison provided in cancer 1, this is the best estimate by NCI for 2015</t>
  </si>
  <si>
    <t>In a Journal of National Cancer Insitute study, in 2009, radiation therapy for breast is $8600, lung is $9000, and prostate is $18000.</t>
  </si>
  <si>
    <t>In a Journal of Oncology Practice study, the cost of lumpectomy plus radiation for breast cancer in first half year to be $17344 in 2000, lumpectomy alone cost about $10000. </t>
  </si>
  <si>
    <t>Chao</t>
  </si>
  <si>
    <t>Percutaneous Intervention (Angioplastry)</t>
  </si>
  <si>
    <t>Only include hospitalization charge, not surgeon charge nor medication</t>
  </si>
  <si>
    <t>2015 AHA Statistic</t>
  </si>
  <si>
    <t>This number only include hospital charge. It doesn't include surgeon cost nor medication</t>
  </si>
  <si>
    <t>The data source is HCUP</t>
  </si>
  <si>
    <t>2014 Milliman US organ and tissue transplant cost estimates and discussion</t>
  </si>
  <si>
    <t>According to 2014 Milliman organ transplant study, hospital admission charge is 771500, considering inflation, the milliman and AHA number are very close</t>
  </si>
  <si>
    <t>This number is chosen because the cross comparison between the milliman and AHA data for heart transplant is very close.</t>
  </si>
  <si>
    <t>These numbers are also posted on transplantliving.org, but the term of use also state that content are not for commercial use</t>
  </si>
  <si>
    <t>http://www.ahajournals.org/site/rights/</t>
  </si>
  <si>
    <t>The Year Column in this spreadsheet denotes what year is the value of money used by the source</t>
  </si>
  <si>
    <t>Need to consider the difference between what the hospital billed and what the insurers pay</t>
  </si>
  <si>
    <t>Insurers can be private insurance company or medicare/medicaid, usually medicare pays less than private insurers for the same service</t>
  </si>
  <si>
    <t>https://www.ncbi.nlm.nih.gov/home/about/policies.shtml</t>
  </si>
  <si>
    <t>Information that is created by or for the US government on this site is within the public domain. Public domain information on the National Library of Medicine (NLM) Web pages may be freely distributed and copied.</t>
  </si>
  <si>
    <t>All persons reproducing, redistributing, or making commercial use of this information are expected to adhere to the terms and conditions asserted by the copyright holder. </t>
  </si>
  <si>
    <t>Health Care Financing Review</t>
  </si>
  <si>
    <t>http://www.ncbi.nlm.nih.gov/pmc/articles/PMC4194474/</t>
  </si>
  <si>
    <t>All published material that appears in HCFR is in the public domain and may be reproduced or copied without permission; however, citation to source is appreciated.</t>
  </si>
  <si>
    <t>Health Care Financing Review (HCFR) is under the CMS, a government agency</t>
  </si>
  <si>
    <t>Colon</t>
  </si>
  <si>
    <t>Rectum</t>
  </si>
  <si>
    <t>https://www.hcup-us.ahrq.gov/db/state/costtocharge.jsp</t>
  </si>
  <si>
    <t>This idea is further explain in the following website</t>
  </si>
  <si>
    <t>Population Health Management</t>
  </si>
  <si>
    <t>Billed</t>
  </si>
  <si>
    <t>All patient</t>
  </si>
  <si>
    <t>In 2011, lost productivity related to heart disease is $99.3 billion, and direct cost is $116.3 billion, so lost productivity is 99.3/116.3=85% of direct cost.</t>
  </si>
  <si>
    <t>But this number include all patient, not just first diagnosis</t>
  </si>
  <si>
    <t>Another reason is the time difference between the data (2012 vs 2005)</t>
  </si>
  <si>
    <t>this number is hospital billed, not how much the insurers pay, which is usually a lot lower</t>
  </si>
  <si>
    <t>The disability and absenteenism data in this study is not applicable to regular bypass because it usually takes a lot longer to recover if combine with acute coronary syndrome</t>
  </si>
  <si>
    <t>The most common treatment of heart attach is medical management, so average doesn’t give accurate number</t>
  </si>
  <si>
    <t>Considering an average critical illness cost about $40000 in medical expense, 5% of medical expense seems to be a reasonable proxy for miscellaneous expense</t>
  </si>
  <si>
    <t>Major Critical Illness</t>
  </si>
  <si>
    <t>Major Accident</t>
  </si>
  <si>
    <t>https://www.metlife.com/assets/institutional/services/insights-and-tools/ebts/accident-critical-illness-whitepaper-feb2014.pdf</t>
  </si>
  <si>
    <t>Wage loss In dollar</t>
  </si>
  <si>
    <t>With Cancer</t>
  </si>
  <si>
    <t>Without Cancer</t>
  </si>
  <si>
    <t>Difference</t>
  </si>
  <si>
    <t>http://www.cdc.gov/mmwr/preview/mmwrhtml/mm6323a2.htm</t>
  </si>
  <si>
    <t>Men</t>
  </si>
  <si>
    <t>Only 45.6% of the survey population are under age 65</t>
  </si>
  <si>
    <t>Women</t>
  </si>
  <si>
    <t>Center for Disease Control</t>
  </si>
  <si>
    <t>Based on MEPS data</t>
  </si>
  <si>
    <t>Current Oncology</t>
  </si>
  <si>
    <t>Initial 3 Months</t>
  </si>
  <si>
    <t>http://www.ncbi.nlm.nih.gov/pmc/articles/PMC2854636/</t>
  </si>
  <si>
    <t>This research is done in Canada, but considering that both the US and Canada are developed country with similar quality of health care, the lost productivity in terms of hour should be close</t>
  </si>
  <si>
    <t>In the first 14.6 weeks following diagnosis of cancer, the paitient loss 210 hours of productivity</t>
  </si>
  <si>
    <t>and the care giver loss 134 hour of productivity.</t>
  </si>
  <si>
    <t>Inflation adjustor</t>
  </si>
  <si>
    <t>Location adjustor</t>
  </si>
  <si>
    <t>In Patient Stay</t>
  </si>
  <si>
    <t>Outpatient Visit</t>
  </si>
  <si>
    <t>Cases</t>
  </si>
  <si>
    <t>Ovarian</t>
  </si>
  <si>
    <t>Non-Hodgkin's Lymphoma</t>
  </si>
  <si>
    <t>In Situ Cancer</t>
  </si>
  <si>
    <t>Local Cancer</t>
  </si>
  <si>
    <t>This number is appropriate because people with cancer in situ generally don't feel any discomfort, thus the only days off work is doctor visit</t>
  </si>
  <si>
    <t>Number of Case</t>
  </si>
  <si>
    <t>Hemorrhagic</t>
  </si>
  <si>
    <t>Ischemic</t>
  </si>
  <si>
    <t>Hospital Stay</t>
  </si>
  <si>
    <t>AHA 2011</t>
  </si>
  <si>
    <t>http://www.strokeassociation.org/idc/groups/stroke-public/@wcm/@hcm/@sta/documents/downloadable/ucm_469339.pdf</t>
  </si>
  <si>
    <t>Most stroke survivors will meet this strict definition of disability and thus be eligible for benefits.</t>
  </si>
  <si>
    <t>To qualify as “disabled” under these programs (Social Security Disability Insurance), you must be unable to work because of a medical condition that is expected to last at least 12 months (one year) or result in death</t>
  </si>
  <si>
    <t>Strokes that occur in the working population also are among the costliest disability cases for employers and average $144,722 per claim</t>
  </si>
  <si>
    <t>Also indicate that average lost days of work is over one year</t>
  </si>
  <si>
    <t>Canadian Journal of Neurological Sciences</t>
  </si>
  <si>
    <t>http://www.ncbi.nlm.nih.gov/pubmed/23041400</t>
  </si>
  <si>
    <t>The average cost of ischemic stroke in Canada is 74353, including direct and indirect cost. Considering Canada health care is cheaper than the US, cost to treat stroke should be around 30k</t>
  </si>
  <si>
    <t>The rest of the cost is attributable to lost wages, which also indicate lost days of work would be over one year</t>
  </si>
  <si>
    <t>Organ Procurement and Transplantation Network</t>
  </si>
  <si>
    <t>http://srtr.transplant.hrsa.gov/annual_reports/2012/pdf/2012_SRTR_ADR_updated_full_intro.pdf</t>
  </si>
  <si>
    <t xml:space="preserve">Type </t>
  </si>
  <si>
    <t>Liver</t>
  </si>
  <si>
    <t>Heart</t>
  </si>
  <si>
    <t>Include medicare part A, B, D and medicare reimbursement to hospital for the transplant portion (retriving the organ from donor) in the first year</t>
  </si>
  <si>
    <t>Academic/Government</t>
  </si>
  <si>
    <t>http://www.usrds.org/2015/view/v2_11.aspx</t>
  </si>
  <si>
    <t>To treat end stage renal disease, there are three options: hemodialysis, peritoneal dialysis, and kidney transplant</t>
  </si>
  <si>
    <t>The most common form is hemodialysis.</t>
  </si>
  <si>
    <t>The recommended for is kidney transplant, but considering kidney transplant is already included in transplant section, we will only include number for hemodialysis</t>
  </si>
  <si>
    <t>PD remains less costly ($69,919 in 2013) on a per patient basis than HD ($84,550). </t>
  </si>
  <si>
    <t>Note that critical illness insurance exclude TIA</t>
  </si>
  <si>
    <t>University of Alabama</t>
  </si>
  <si>
    <t>High Tetraplegia</t>
  </si>
  <si>
    <t>Low Tetraplegia</t>
  </si>
  <si>
    <t>Paraplegia</t>
  </si>
  <si>
    <r>
      <rPr>
        <b/>
        <sz val="11"/>
        <color theme="1"/>
        <rFont val="Calibri"/>
        <family val="2"/>
        <scheme val="minor"/>
      </rPr>
      <t>These data points are for Acute Coronary Syndrome treated with coronary artery bypass for adult age 18-64</t>
    </r>
    <r>
      <rPr>
        <sz val="11"/>
        <color theme="1"/>
        <rFont val="Calibri"/>
        <family val="2"/>
        <scheme val="minor"/>
      </rPr>
      <t>, which include 595000 case of heart attack and 30000 case of unstable agina in 2010</t>
    </r>
  </si>
  <si>
    <t>Integrated Benefits Institute </t>
  </si>
  <si>
    <t>USRDS</t>
  </si>
  <si>
    <t>http://www.businessinsurance.com/article/20110525/BENEFITS02/110529921</t>
  </si>
  <si>
    <t>talk about the lost wages in this report</t>
  </si>
  <si>
    <t>Copyright: http://www.current-oncology.com/index.php/oncology/pages/view/reprints</t>
  </si>
  <si>
    <t>This study is most ideal for lost wages, but it doesn't include the day of absense due to not feeling well</t>
  </si>
  <si>
    <t>Even though the average American work have ten days of sick day every year, they most likely have used quite a bit of them considering that they acquire a critical illness in the same year, so I recommend either using sick day adjustment of five days or none at all</t>
  </si>
  <si>
    <t>Lost of productivity can be measured from the employer/economic perspective and from employee perspective</t>
  </si>
  <si>
    <t>We care about from employee perspective, or in other word, how much income does the patient lose</t>
  </si>
  <si>
    <t>For lost wages, not onlydoes  the patient missed works, but also the person taking care of the patient with critical illness</t>
  </si>
  <si>
    <t>Potential problem with this number is that coronary bypass perform for acute coronary syndrome may be more complicated and expensive than regular coronary bypass.</t>
  </si>
  <si>
    <t>Looking at the cost below, liver transplant seems to be representative of an average transplant.</t>
  </si>
  <si>
    <t>Most cost in this spreadsheet is how much private insurers pay. Hospital charge is labeled with "billed", medicare charge is labeled with "medicare"</t>
  </si>
  <si>
    <t>Medicare</t>
  </si>
  <si>
    <t>MS takes a long time to develop. Initially, there is almost no symptom as long as you are taking medicine. So there may not be any missed days</t>
  </si>
  <si>
    <t>For MS, all patient and first year patient should have the same amount of cost</t>
  </si>
  <si>
    <t>http://www.heritage.org/research/reports/2010/05/obamacare-impact-on-doctors#_ftn2</t>
  </si>
  <si>
    <t> In 2013 the PPPY cost for transplant patients was $29,920.</t>
  </si>
  <si>
    <t>http://www.usrds.org/2015/view/v2_12.aspx</t>
  </si>
  <si>
    <t>Total Cost = 84550+7142=91692</t>
  </si>
  <si>
    <t>http://www.ncbi.nlm.nih.gov/pmc/articles/PMC3699059/#b23-ceor-5-281</t>
  </si>
  <si>
    <t>Direct costs range from $67,504 to $114,231 per patient</t>
  </si>
  <si>
    <t>For Severe traumatic brain injury</t>
  </si>
  <si>
    <t>?</t>
  </si>
  <si>
    <t>Wikipedia</t>
  </si>
  <si>
    <t>40 % of coma is cause by drug poisoning, 25% by lack of oxygen (generally due to cardiac arrest), 20% by stroke, and 15% by trauma and other cause</t>
  </si>
  <si>
    <t>Considering that only a small percentage of coma is cause by trauma, and meaningful data can't be found on coma due to other causes, I would suggest not including coma in the risk calculator</t>
  </si>
  <si>
    <t>Ulus Travma Acil Cerrahi Derg.</t>
  </si>
  <si>
    <t>The average cost per ICU stay was US$ 4846+/-5084.</t>
  </si>
  <si>
    <t>Mean length of stay was 9.8+/-8.7 days</t>
  </si>
  <si>
    <t>http://www.ncbi.nlm.nih.gov/pubmed/20517770</t>
  </si>
  <si>
    <t>http://www.researchgate.net/publication/226943693_Traumatic_Brain_Injury_Across_the_Lifespan_A_Neuropsychological_Tutorial_for_Attorneys</t>
  </si>
  <si>
    <t>Psychol. Inj. and Law</t>
  </si>
  <si>
    <t>billed</t>
  </si>
  <si>
    <t>the mean (total) charges for acute care hospitalization was $162,194, with inpatient rehabilitation costing $59,862</t>
  </si>
  <si>
    <t>https://www.nscisc.uab.edu/Public/Facts%202015%20Aug.pdf</t>
  </si>
  <si>
    <t>The average hispital stay is 11 days, and the rehab is 36 days</t>
  </si>
  <si>
    <t>Indirect costs such as losses in wages, fringe benefits, and productivity (indirect costs averaged $71,961 per year in 2014 dollars).</t>
  </si>
  <si>
    <t>https://www.nscisc.uab.edu/</t>
  </si>
  <si>
    <t>Percent of Scale A cases</t>
  </si>
  <si>
    <t>Note that high and low tetraplegias are group into one categories in percent of cases, it is 14%, so I just split it into halve here</t>
  </si>
  <si>
    <t>he most common causes of blindness in 2010 were:</t>
  </si>
  <si>
    <t>1. cataracts (51%)</t>
  </si>
  <si>
    <t>2. glaucoma (8%)</t>
  </si>
  <si>
    <t>3. age related macular degeneration (5%)</t>
  </si>
  <si>
    <t>4. corneal opacification (4%)</t>
  </si>
  <si>
    <t>5. childhood blindness (4%)</t>
  </si>
  <si>
    <t>6. refractive errors (3%)</t>
  </si>
  <si>
    <t>7. trachoma (3%)</t>
  </si>
  <si>
    <t>8. diabetic retinopathy (1%)</t>
  </si>
  <si>
    <t>9. undetermined (21%)</t>
  </si>
  <si>
    <t>Prevent Blindness at America</t>
  </si>
  <si>
    <t>Use of MEPS for cost data</t>
  </si>
  <si>
    <t>conservatively estimate that low vision costs are $26,900 per year for each person blind.</t>
  </si>
  <si>
    <t>Productivity loss due to blindness</t>
  </si>
  <si>
    <t>Total blind population</t>
  </si>
  <si>
    <t>Average Productivity loss</t>
  </si>
  <si>
    <t>Note that some critical illness insurance classify blindness as 20/400, while the above report classify blindness as 20/200</t>
  </si>
  <si>
    <t>In 2013, average hourly wage rate of $19.17 reported by the Bureau of Labor Statistics</t>
  </si>
  <si>
    <t xml:space="preserve">Study:  Benefit Designs for High Cost Medical Conditions, Milliman April 22, 2011 (figure 8: page 9).  All cancer patients including those with monitoring and active therapy. </t>
  </si>
  <si>
    <t xml:space="preserve">Medstat 2008 adjusted to Milliman HCG 2009 standard commercial demographics, trended to 2010   </t>
  </si>
  <si>
    <t>Medical Expenditure Panel Survey (MEPS)-US Department of Health and Human Services</t>
  </si>
  <si>
    <t>All  Patient</t>
  </si>
  <si>
    <t>See Tab</t>
  </si>
  <si>
    <t>First Year</t>
  </si>
  <si>
    <t>It support the number from AHA 2015</t>
  </si>
  <si>
    <t>This number is for coronary revascularization, which include angioplasty(cheaper) and coronary bypass, so the number is an underestimate</t>
  </si>
  <si>
    <t>Medical Expenditure Survey</t>
  </si>
  <si>
    <t>Due to the high variability of some of the number, a clear note about the variability of the number should be added to the calculator</t>
  </si>
  <si>
    <t>In formal productivity loss (care giver) due to blindness and vision impariment</t>
  </si>
  <si>
    <t>The product of this two number is not the average cost though because the two variable is most likely correlated</t>
  </si>
  <si>
    <t>http://www.niddk.nih.gov/health-information/health-topics/kidney-disease/hemodialysis/Pages/facts.aspx</t>
  </si>
  <si>
    <t>National Insitute of diabetes and digestive and kidney disease</t>
  </si>
  <si>
    <t>Most patients go to a clinic—a dialysis center—three times a week for 3 to 5 or more hours each visit.</t>
  </si>
  <si>
    <t>I attribute all informal productvity loss due to both blindness and visual impairment to blindness alone</t>
  </si>
  <si>
    <t>Consider most of these causes develop slowly over time, ongoing expense should be close to first year expense</t>
  </si>
  <si>
    <t>Note the cost above is economic burden cost, which include medical cost, lost productivity, long term care, fringe benefit, etc. So 26900-11654=15246 is more than medical cost, but since 26900 is a conservative estimate</t>
  </si>
  <si>
    <t>and not for first year of diagnosis, which means the number should be higher, 15246 can subsititute medical cost.</t>
  </si>
  <si>
    <t xml:space="preserve">According to Kaiser foundation, adjusted to nominal value, health care cost in New Zealand is about 40% of the US. So 11740*0.68/0.4=19958, </t>
  </si>
  <si>
    <t>which match the number in the US quite well considering inflation.</t>
  </si>
  <si>
    <t>In conclusion, I suggest a cost of $19958 in 2011 dollar.</t>
  </si>
  <si>
    <t>This number is different from the Milliman number because some common cancer in situ such as breast and skin cancer in situ require surgery and chemotherapy.</t>
  </si>
  <si>
    <t>In fact, in the definition of cancer in situ set by insurers, many of them specifically mention skin cancer in situ (Bowen Disease), which require chemotherapy</t>
  </si>
  <si>
    <t>The Victorian Neurotrauma Initiative</t>
  </si>
  <si>
    <t>In Australia, the cost of severe traumatic brain injury with coma score of 3-8 and period of 1-4weeks is 112394 Australian Dollar</t>
  </si>
  <si>
    <t>According to Kaiser Foundation, and adjusted to nominal value, cost of health care in Australia is =3855/8845*51642/47318=48% of the US, and 1 Australian dollar= 0.72 US dollar</t>
  </si>
  <si>
    <t>http://kff.org/global-indicator/health-expenditure-per-capita/</t>
  </si>
  <si>
    <t>Prior to injury – 68 persons were employed full time. Two years after injury – 41% of these 68 persons returned to fulltime work, 9% to part-time work (total for full- and part-time of 50%), 43% were not employed and 7% were not in the labour force.</t>
  </si>
  <si>
    <t>https://www.tac.vic.gov.au/about-the-tac/our-organisation/research/tac-neurotrauma-research/vni/the20economic20cost20of20spinal20cord20injury20and20traumatic20brain20injury20in20australia.pdf</t>
  </si>
  <si>
    <t>Prior to the injury, 73% were employed (i.e. full- and part-time), 5% were unemployed and looking for work and the remainder were unemployed but not looking for work (i.e. not in the labour force)</t>
  </si>
  <si>
    <t>After sustaining injury, 37% were employed (i.e. full- and part-time), 4% were unemployed but looking for work and 59% were unemployed but not looking for work (i.e. not in the labour force)</t>
  </si>
  <si>
    <t>Lost productivity of care giver is 40 hr/week for tetraplegia, and 22.9 hr/week for paraplegia</t>
  </si>
  <si>
    <t xml:space="preserve">Using the percentage of cases above, </t>
  </si>
  <si>
    <t>hr/week</t>
  </si>
  <si>
    <t>days/year</t>
  </si>
  <si>
    <t>Formal Days</t>
  </si>
  <si>
    <t>Medicare Inflation Adjustment</t>
  </si>
  <si>
    <t>Inflation Adjustment</t>
  </si>
  <si>
    <t>Medicare and Inflation Adjustment</t>
  </si>
  <si>
    <t>25% of Lost Days of Work</t>
  </si>
  <si>
    <t>134/8=17 days informal care</t>
  </si>
  <si>
    <t>The total lost productivity is 210/8=26days</t>
  </si>
  <si>
    <t>http://www.current-oncology.com/index.php/oncology/pages/view/reprints</t>
  </si>
  <si>
    <t>American Heart Association</t>
  </si>
  <si>
    <t>NHS</t>
  </si>
  <si>
    <t>http://www.nhs.uk/Conditions/Liver-transplant/Pages/Recovery.aspx</t>
  </si>
  <si>
    <t xml:space="preserve">How long you need to be off work will depend on your job and how quickly you recover. </t>
  </si>
  <si>
    <t>Some people will be able to return to work after three months, although others may need more time off. </t>
  </si>
  <si>
    <t>Data presented in the USRDS Annual Data Reports are in the public domain. However, please use the following citation and disclaimer as applicable: </t>
  </si>
  <si>
    <t>http://www.nhs.uk/aboutNHSChoices/aboutnhschoices/termsandconditions/Pages/termsandconditions.aspx</t>
  </si>
  <si>
    <t>Under the Open Government Licence (OGL) commercial organisations may make use of our content on similar terms to those at 3.1. Note that any editing of clinical content may invalidate its formal approval;</t>
  </si>
  <si>
    <t>the organisation or individual amending the content will bear any risk associated with such amendment.</t>
  </si>
  <si>
    <t>Government/University of Alabama at Birmingham National Spinal Cord Injury Statistical Center is funded by National Institute on Disability, Independent Living, and Rehabilitation Research, a government agency, so this should be fine</t>
  </si>
  <si>
    <t>http://www.norc.org/Pages/default.aspx</t>
  </si>
  <si>
    <t>A government study done by New Zealand in 2011, the average cost of cancer in situ is 11740 New Zealand dollar, and  today conversion is $0.68.</t>
  </si>
  <si>
    <t>Patient covered by Kaiser Permanente in California Bay Area, so the cost may be higher than national average</t>
  </si>
  <si>
    <t>Appropriate for Emerge's use</t>
  </si>
  <si>
    <t>This number is very close to the New Zealand number after adjusting for inflation.</t>
  </si>
  <si>
    <t>For emerge, we care about the combine lost wages of care giver and patient.</t>
  </si>
  <si>
    <t>I suggest using 25% of  patient's missed days of work  to take care giver into account for some illness</t>
  </si>
  <si>
    <t>Since the average number of visit for stage 1-4 cancer is 20 days, and for stage 1 only is 18 days. The difference in the number of doctor visit for stage 0 and stage 1 should be very small.</t>
  </si>
  <si>
    <t xml:space="preserve">Source for Cost of Illness </t>
  </si>
  <si>
    <t>Source for Lost Days of Work</t>
  </si>
  <si>
    <t>N/A</t>
  </si>
  <si>
    <t>The NCI cost project data use medicare as the source data, which usually only pay eighty percent of what private insurers pay. Since emerge's target customers usually have private insurance, so I adjusted all number to how much private insurance would cost.</t>
  </si>
  <si>
    <t>Study:  Benefit Designs for High Cost Medical Conditions, Milliman April 22, 2011</t>
  </si>
  <si>
    <t>used to adjust cost to national average</t>
  </si>
  <si>
    <t>The number for transplant is a lot lower than the transplant cost in the other tab because this number consider all patient who have undergone transplant, not just first year of transplant</t>
  </si>
  <si>
    <t>Potential Copy Right Problem</t>
  </si>
  <si>
    <t>United States Renal Data System</t>
  </si>
  <si>
    <t>Since hospital generally puts more effot into treating young people with cancer, cancer for younger people is on average 20% higher for younger people.</t>
  </si>
  <si>
    <t>Since emerge's target customers usually have private insurance, so I adjusted all number to how much private insurance would cost.</t>
  </si>
  <si>
    <t xml:space="preserve"> Source:  AHA Statistical Update Page 231-Another study of the same database</t>
  </si>
  <si>
    <r>
      <t>Hemodialysis patients had the highest per person per year (PPPY)</t>
    </r>
    <r>
      <rPr>
        <sz val="11"/>
        <color rgb="FFFF0000"/>
        <rFont val="Calibri"/>
        <family val="2"/>
        <scheme val="minor"/>
      </rPr>
      <t xml:space="preserve"> </t>
    </r>
    <r>
      <rPr>
        <sz val="11"/>
        <rFont val="Calibri"/>
        <family val="2"/>
        <scheme val="minor"/>
      </rPr>
      <t xml:space="preserve">(Part D Prescription) </t>
    </r>
    <r>
      <rPr>
        <sz val="11"/>
        <color theme="1"/>
        <rFont val="Calibri"/>
        <family val="2"/>
        <scheme val="minor"/>
      </rPr>
      <t>Medicare costs in 2013, at $7,142, compared to $6,566 and $4,875 for peritoneal dialysis and transplant patients.</t>
    </r>
  </si>
  <si>
    <t>http://content.healthaffairs.org/content/22/2/230.full</t>
  </si>
  <si>
    <t>http://money.cnn.com/2014/04/21/news/economy/medicare-doctors/</t>
  </si>
  <si>
    <t xml:space="preserve">A recent study done by Heritage Foundation show medicare usually only pay 81% what what private insurance pay. </t>
  </si>
  <si>
    <t>A study done by Uconn (show on the right) shows medicare is approximately 83% of private insurance</t>
  </si>
  <si>
    <t>A CNN study say it's 80%</t>
  </si>
  <si>
    <t>In this Excel file, we will use 81%</t>
  </si>
  <si>
    <t>For what emerge concern, how much private insurers pay matter the most. So all cost in this Excel file is adjusted to what private insurers would pay</t>
  </si>
  <si>
    <t>Age, y</t>
  </si>
  <si>
    <t>White Men</t>
  </si>
  <si>
    <t>White Women</t>
  </si>
  <si>
    <t>Black Men</t>
  </si>
  <si>
    <t>Black Women</t>
  </si>
  <si>
    <t>ISC</t>
  </si>
  <si>
    <t> 0-44</t>
  </si>
  <si>
    <t> 45-54</t>
  </si>
  <si>
    <t> 55-64</t>
  </si>
  <si>
    <t> 65-74</t>
  </si>
  <si>
    <t> 75-84</t>
  </si>
  <si>
    <t> 85+</t>
  </si>
  <si>
    <t>SAH</t>
  </si>
  <si>
    <t> 35-44</t>
  </si>
  <si>
    <t>ICH</t>
  </si>
  <si>
    <t>Direct Costs, $</t>
  </si>
  <si>
    <t>Year 1</t>
  </si>
  <si>
    <t> &lt;65</t>
  </si>
  <si>
    <t> ≥85</t>
  </si>
  <si>
    <t>http://stroke.ahajournals.org/content/27/9/1459.full</t>
  </si>
  <si>
    <t>Inflation Adjusted</t>
  </si>
  <si>
    <t>Summary of Weighted Stroke Incidence Studies (Rates per 100 000)</t>
  </si>
  <si>
    <t>Since we only care about different proportion between age and type of stroke, I give data for each race and gender equal weight, even though there are more white than black.</t>
  </si>
  <si>
    <t xml:space="preserve">Milliman </t>
  </si>
  <si>
    <t>Cost Impact to Payer and Employer of TIA and Stroke</t>
  </si>
  <si>
    <t>Ischemic Stroke</t>
  </si>
  <si>
    <t>This number may include TIA, the report didn't specify</t>
  </si>
  <si>
    <t>This study only include working individual who are between age 20-69, which according to an AHA study above, it is more expensive than the overall population because</t>
  </si>
  <si>
    <t>hospitals spend more resource trying to cure younger people, so this number is on the high end.</t>
  </si>
  <si>
    <t>GenRe</t>
  </si>
  <si>
    <t>http://www.genre.com/knowledge/blog/critical-illness-insurance-fast-facts-en.html</t>
  </si>
  <si>
    <t>Page 283</t>
  </si>
  <si>
    <t>Mid Year Accumulation</t>
  </si>
  <si>
    <t>Beginning of Year Accumulation</t>
  </si>
  <si>
    <t>The mid year accumulation assume the value of money is based on July 1st of that year</t>
  </si>
  <si>
    <t>The beginning of year accumulation assume the value of money is based on Jan 1st of that year</t>
  </si>
  <si>
    <t>Data collected from 2004-2005</t>
  </si>
  <si>
    <t>Source:  AHA Statistical Update Page 231-These data points are for Acute Coronary Syndrome for commercially insured adult age 18-64, which include 595000 case of heart attack and 30000 case of unstable agina in 2010</t>
  </si>
  <si>
    <t>2003-2006</t>
  </si>
  <si>
    <t>2004-2005</t>
  </si>
  <si>
    <t>based on the 2011 Milliman report</t>
  </si>
  <si>
    <t>Lost Productivity in days</t>
  </si>
  <si>
    <t>Study:  Benefit Designs for High Cost Medical Conditions, Milliman April 22, 2011.</t>
  </si>
  <si>
    <t>I suggest taking 75% of this number. Which is slightly higher than the Milliman number of coronary revascularization ($84100), since this number include angioplasty (cheaper)</t>
  </si>
  <si>
    <t>Number of Case (using HCUP data)</t>
  </si>
  <si>
    <t xml:space="preserve">The American Impairment Scale categorize the severity of paralysis into A to E categories, with A being the most severe. The study above  group category A, B and C together into the cost. </t>
  </si>
  <si>
    <t>According to CSG, critical Illness insurance only covers scale A (the most severe). So the actual cost is higher than the cost above.</t>
  </si>
  <si>
    <t>In some cases, hospital billed charge can be two or three times of what the insurers pay. As shown in HealthcareBlueBook, the cost difference of MRI in one city can be three or four folds.</t>
  </si>
  <si>
    <t>Page 54</t>
  </si>
  <si>
    <t>However, considering that it is strange to miss a number on the risk calculator, a number for coma should still be included.</t>
  </si>
  <si>
    <t>medicare pays 81 percent of what private insurers would pay</t>
  </si>
  <si>
    <t>InFormal Days</t>
  </si>
  <si>
    <t>Alternative Miscellaneous</t>
  </si>
  <si>
    <t>Since most stroke survivor meet the requirement, so the median lost days of work last at least half year, which has 120 work days</t>
  </si>
  <si>
    <t>I will use 4 month, or 250/3=83.33</t>
  </si>
  <si>
    <t>Or in other word, half of all the available work days in the first half year is lost. 125/2=62.5</t>
  </si>
  <si>
    <t>Since indirect cost is higher than the average annual wage in the US, it is safe to say the lost wage is at least half year</t>
  </si>
  <si>
    <t>The number above include living expenses, so the medical cost should be less.</t>
  </si>
  <si>
    <t>Since the above two effects are oppsite of each other, I assume they cancel each other out and didn’t make an adjustment.</t>
  </si>
  <si>
    <t>Since only about 41% people return to work after two years, it is safe to assume the median lost wages is at least half year</t>
  </si>
  <si>
    <t>A maximum of half years or 125 dyas of lost wages is included into the model. Some illnesses may have additional lost wages, but it is not accounted for in this model</t>
  </si>
  <si>
    <r>
      <t>Lost Days of Work in the first</t>
    </r>
    <r>
      <rPr>
        <sz val="11"/>
        <rFont val="Calibri"/>
        <family val="2"/>
        <scheme val="minor"/>
      </rPr>
      <t xml:space="preserve"> half year of diagnosis</t>
    </r>
  </si>
  <si>
    <r>
      <t>Lost Days of Work by Caregiver in the first</t>
    </r>
    <r>
      <rPr>
        <sz val="11"/>
        <rFont val="Calibri"/>
        <family val="2"/>
        <scheme val="minor"/>
      </rPr>
      <t xml:space="preserve"> half year of diagnosis</t>
    </r>
  </si>
  <si>
    <t>The estimated care giver lost productivity is 22.9 hour per week for severe TBI</t>
  </si>
  <si>
    <r>
      <rPr>
        <sz val="11"/>
        <rFont val="Calibri"/>
        <family val="2"/>
        <scheme val="minor"/>
      </rPr>
      <t>Medical Cost in  the first year of diagnosis a</t>
    </r>
    <r>
      <rPr>
        <sz val="11"/>
        <color theme="1"/>
        <rFont val="Calibri"/>
        <family val="2"/>
        <scheme val="minor"/>
      </rPr>
      <t>djusted to end of 2016 Dollar</t>
    </r>
  </si>
  <si>
    <t>Adjusted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</si>
</sst>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_);[Red]\(&quot;$&quot;#,##0\)"/>
    <numFmt numFmtId="8" formatCode="&quot;$&quot;#,##0.00_);[Red]\(&quot;$&quot;#,##0.00\)"/>
    <numFmt numFmtId="44" formatCode="_(&quot;$&quot;* #,##0.00_);_(&quot;$&quot;* \(#,##0.00\);_(&quot;$&quot;* &quot;-&quot;??_);_(@_)"/>
    <numFmt numFmtId="43" formatCode="_(* #,##0.00_);_(* \(#,##0.00\);_(* &quot;-&quot;??_);_(@_)"/>
    <numFmt numFmtId="164" formatCode="_(&quot;$&quot;* #,##0.0_);_(&quot;$&quot;* \(#,##0.0\);_(&quot;$&quot;* &quot;-&quot;??_);_(@_)"/>
    <numFmt numFmtId="165" formatCode="_(&quot;$&quot;* #,##0_);_(&quot;$&quot;* \(#,##0\);_(&quot;$&quot;* &quot;-&quot;??_);_(@_)"/>
    <numFmt numFmtId="173" formatCode="_(* #,##0_);_(* \(#,##0\);_(* &quot;-&quot;??_);_(@_)"/>
    <numFmt numFmtId="174" formatCode="_(* #,##0.000_);_(* \(#,##0.000\);_(* &quot;-&quot;??_);_(@_)"/>
  </numFmts>
  <fonts count="18" x14ac:knownFonts="1">
    <font>
      <sz val="11"/>
      <color theme="1"/>
      <name val="Calibri"/>
      <family val="2"/>
      <scheme val="minor"/>
    </font>
    <font>
      <sz val="11"/>
      <color theme="1"/>
      <name val="Calibri"/>
      <family val="2"/>
      <scheme val="minor"/>
    </font>
    <font>
      <sz val="11"/>
      <color theme="1"/>
      <name val="Arial"/>
      <family val="2"/>
    </font>
    <font>
      <u/>
      <sz val="11"/>
      <color theme="10"/>
      <name val="Calibri"/>
      <family val="2"/>
      <scheme val="minor"/>
    </font>
    <font>
      <sz val="11"/>
      <color theme="0"/>
      <name val="Calibri"/>
      <family val="2"/>
      <scheme val="minor"/>
    </font>
    <font>
      <b/>
      <sz val="12"/>
      <color theme="1"/>
      <name val="Arial"/>
      <family val="2"/>
    </font>
    <font>
      <b/>
      <sz val="11"/>
      <color theme="1"/>
      <name val="Arial"/>
      <family val="2"/>
    </font>
    <font>
      <sz val="11"/>
      <color indexed="8"/>
      <name val="Calibri"/>
      <family val="2"/>
      <scheme val="minor"/>
    </font>
    <font>
      <u/>
      <sz val="11"/>
      <color theme="1"/>
      <name val="Calibri"/>
      <family val="2"/>
      <scheme val="minor"/>
    </font>
    <font>
      <sz val="11"/>
      <color rgb="FF006100"/>
      <name val="Calibri"/>
      <family val="2"/>
      <scheme val="minor"/>
    </font>
    <font>
      <b/>
      <sz val="11"/>
      <color rgb="FF4D4D4D"/>
      <name val="Arial"/>
      <family val="2"/>
    </font>
    <font>
      <sz val="11"/>
      <color rgb="FF4D4D4D"/>
      <name val="Arial"/>
      <family val="2"/>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0"/>
      <color rgb="FF191919"/>
      <name val="Lucida Sans Unicode"/>
      <family val="2"/>
    </font>
    <font>
      <b/>
      <sz val="10"/>
      <color rgb="FF222222"/>
      <name val="Arial"/>
      <family val="2"/>
    </font>
  </fonts>
  <fills count="6">
    <fill>
      <patternFill patternType="none"/>
    </fill>
    <fill>
      <patternFill patternType="gray125"/>
    </fill>
    <fill>
      <patternFill patternType="solid">
        <fgColor rgb="FFFFFF00"/>
        <bgColor indexed="64"/>
      </patternFill>
    </fill>
    <fill>
      <patternFill patternType="solid">
        <fgColor theme="8"/>
      </patternFill>
    </fill>
    <fill>
      <patternFill patternType="solid">
        <fgColor rgb="FFC6EFCE"/>
      </patternFill>
    </fill>
    <fill>
      <patternFill patternType="solid">
        <fgColor theme="4"/>
      </patternFill>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3" borderId="0" applyNumberFormat="0" applyBorder="0" applyAlignment="0" applyProtection="0"/>
    <xf numFmtId="0" fontId="7" fillId="0" borderId="0"/>
    <xf numFmtId="0" fontId="9" fillId="4" borderId="0" applyNumberFormat="0" applyBorder="0" applyAlignment="0" applyProtection="0"/>
    <xf numFmtId="0" fontId="4"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66">
    <xf numFmtId="0" fontId="0" fillId="0" borderId="0" xfId="0"/>
    <xf numFmtId="0" fontId="0" fillId="0" borderId="0" xfId="0" applyAlignment="1">
      <alignment wrapText="1"/>
    </xf>
    <xf numFmtId="6" fontId="0" fillId="0" borderId="0" xfId="0" applyNumberFormat="1"/>
    <xf numFmtId="44" fontId="0" fillId="0" borderId="0" xfId="1" applyFont="1"/>
    <xf numFmtId="44" fontId="0" fillId="0" borderId="0" xfId="0" applyNumberFormat="1"/>
    <xf numFmtId="44" fontId="0" fillId="0" borderId="0" xfId="1" applyFont="1" applyAlignment="1"/>
    <xf numFmtId="0" fontId="3" fillId="0" borderId="0" xfId="2"/>
    <xf numFmtId="0" fontId="2" fillId="0" borderId="0" xfId="0" applyFont="1"/>
    <xf numFmtId="0" fontId="2" fillId="0" borderId="0" xfId="0" applyFont="1" applyAlignment="1">
      <alignment wrapText="1"/>
    </xf>
    <xf numFmtId="0" fontId="5" fillId="2" borderId="1" xfId="0" applyFont="1" applyFill="1" applyBorder="1" applyAlignment="1">
      <alignment wrapText="1"/>
    </xf>
    <xf numFmtId="0" fontId="6" fillId="2" borderId="1" xfId="0" applyFont="1" applyFill="1" applyBorder="1" applyAlignment="1">
      <alignment horizontal="center" wrapText="1"/>
    </xf>
    <xf numFmtId="0" fontId="6" fillId="2" borderId="1" xfId="0" applyFont="1" applyFill="1" applyBorder="1" applyAlignment="1">
      <alignment wrapText="1"/>
    </xf>
    <xf numFmtId="0" fontId="2" fillId="0" borderId="1" xfId="0" applyFont="1" applyBorder="1" applyAlignment="1">
      <alignment horizontal="center"/>
    </xf>
    <xf numFmtId="0" fontId="2" fillId="0" borderId="1" xfId="0" applyFont="1" applyBorder="1"/>
    <xf numFmtId="0" fontId="2" fillId="0" borderId="1" xfId="0" applyFont="1" applyBorder="1" applyAlignment="1">
      <alignment horizontal="center" wrapText="1"/>
    </xf>
    <xf numFmtId="0" fontId="4" fillId="3" borderId="0" xfId="3"/>
    <xf numFmtId="0" fontId="2" fillId="0" borderId="0" xfId="0" applyFont="1" applyAlignment="1">
      <alignment horizontal="left" wrapText="1"/>
    </xf>
    <xf numFmtId="14" fontId="0" fillId="0" borderId="0" xfId="0" applyNumberFormat="1"/>
    <xf numFmtId="10" fontId="0" fillId="0" borderId="0" xfId="0" applyNumberFormat="1"/>
    <xf numFmtId="0" fontId="0" fillId="0" borderId="0" xfId="0" applyNumberFormat="1"/>
    <xf numFmtId="44" fontId="9" fillId="4" borderId="0" xfId="5" applyNumberFormat="1"/>
    <xf numFmtId="0" fontId="6" fillId="2" borderId="0" xfId="0" applyFont="1" applyFill="1" applyAlignment="1">
      <alignment wrapText="1"/>
    </xf>
    <xf numFmtId="0" fontId="6" fillId="2" borderId="0" xfId="0" applyFont="1" applyFill="1" applyAlignment="1">
      <alignment horizontal="center" wrapText="1"/>
    </xf>
    <xf numFmtId="3" fontId="2" fillId="0" borderId="0" xfId="0" applyNumberFormat="1" applyFont="1"/>
    <xf numFmtId="3" fontId="2" fillId="0" borderId="1" xfId="0" applyNumberFormat="1" applyFont="1" applyBorder="1" applyAlignment="1">
      <alignment horizontal="center"/>
    </xf>
    <xf numFmtId="3" fontId="2" fillId="0" borderId="1" xfId="0" applyNumberFormat="1" applyFont="1" applyBorder="1"/>
    <xf numFmtId="0" fontId="6" fillId="2" borderId="1" xfId="0" applyFont="1" applyFill="1" applyBorder="1"/>
    <xf numFmtId="3" fontId="6" fillId="2" borderId="1" xfId="0" applyNumberFormat="1" applyFont="1" applyFill="1" applyBorder="1" applyAlignment="1">
      <alignment horizontal="center"/>
    </xf>
    <xf numFmtId="3" fontId="11" fillId="0" borderId="1" xfId="0" applyNumberFormat="1" applyFont="1" applyBorder="1" applyAlignment="1">
      <alignment horizontal="right" vertical="center" wrapText="1" indent="1"/>
    </xf>
    <xf numFmtId="0" fontId="11" fillId="0" borderId="1" xfId="0" applyFont="1" applyBorder="1" applyAlignment="1">
      <alignment horizontal="right" vertical="center" wrapText="1" indent="1"/>
    </xf>
    <xf numFmtId="3" fontId="10" fillId="2" borderId="1" xfId="0" applyNumberFormat="1" applyFont="1" applyFill="1" applyBorder="1" applyAlignment="1">
      <alignment horizontal="right" vertical="center" wrapText="1" indent="1"/>
    </xf>
    <xf numFmtId="0" fontId="0" fillId="0" borderId="0" xfId="1" applyNumberFormat="1" applyFont="1"/>
    <xf numFmtId="0" fontId="0" fillId="0" borderId="0" xfId="0" applyAlignment="1"/>
    <xf numFmtId="44" fontId="2" fillId="0" borderId="0" xfId="1" applyFont="1"/>
    <xf numFmtId="0" fontId="12" fillId="0" borderId="0" xfId="0" applyFont="1"/>
    <xf numFmtId="0" fontId="9" fillId="4" borderId="0" xfId="5"/>
    <xf numFmtId="6" fontId="9" fillId="4" borderId="0" xfId="5" applyNumberFormat="1"/>
    <xf numFmtId="0" fontId="0" fillId="0" borderId="0" xfId="0"/>
    <xf numFmtId="0" fontId="0" fillId="0" borderId="0" xfId="0"/>
    <xf numFmtId="0" fontId="9" fillId="4" borderId="0" xfId="5" applyNumberFormat="1"/>
    <xf numFmtId="0" fontId="0" fillId="0" borderId="0" xfId="0"/>
    <xf numFmtId="9" fontId="0" fillId="0" borderId="0" xfId="0" applyNumberFormat="1"/>
    <xf numFmtId="0" fontId="4" fillId="5" borderId="0" xfId="6"/>
    <xf numFmtId="8" fontId="9" fillId="4" borderId="0" xfId="5" applyNumberFormat="1"/>
    <xf numFmtId="0" fontId="0" fillId="0" borderId="1" xfId="0" applyBorder="1"/>
    <xf numFmtId="0" fontId="0" fillId="0" borderId="1" xfId="0" applyBorder="1" applyAlignment="1">
      <alignment horizontal="center"/>
    </xf>
    <xf numFmtId="0" fontId="2" fillId="0" borderId="0" xfId="0" applyFont="1" applyAlignment="1">
      <alignment horizontal="center"/>
    </xf>
    <xf numFmtId="0" fontId="0" fillId="0" borderId="0" xfId="0" applyAlignment="1">
      <alignment horizontal="center"/>
    </xf>
    <xf numFmtId="0" fontId="3" fillId="0" borderId="0" xfId="2" applyAlignment="1"/>
    <xf numFmtId="0" fontId="0" fillId="0" borderId="1" xfId="0" applyBorder="1" applyAlignment="1">
      <alignment wrapText="1"/>
    </xf>
    <xf numFmtId="0" fontId="15" fillId="0" borderId="1" xfId="0" applyFont="1" applyFill="1" applyBorder="1" applyAlignment="1">
      <alignment horizontal="center" wrapText="1"/>
    </xf>
    <xf numFmtId="0" fontId="14" fillId="0" borderId="1" xfId="0" applyFont="1" applyBorder="1" applyAlignment="1">
      <alignment horizontal="left" wrapText="1"/>
    </xf>
    <xf numFmtId="0" fontId="14" fillId="0" borderId="0" xfId="0" applyFont="1" applyAlignment="1">
      <alignment horizontal="left" wrapText="1"/>
    </xf>
    <xf numFmtId="0" fontId="14" fillId="0" borderId="0" xfId="0" applyFont="1" applyAlignment="1">
      <alignment wrapText="1"/>
    </xf>
    <xf numFmtId="0" fontId="14" fillId="0" borderId="0" xfId="0" applyFont="1"/>
    <xf numFmtId="0" fontId="15" fillId="0" borderId="0" xfId="0" applyFont="1"/>
    <xf numFmtId="2" fontId="0" fillId="0" borderId="0" xfId="0" applyNumberFormat="1"/>
    <xf numFmtId="0" fontId="16" fillId="0" borderId="0" xfId="0" applyFont="1"/>
    <xf numFmtId="0" fontId="17" fillId="0" borderId="0" xfId="0" applyFont="1"/>
    <xf numFmtId="164" fontId="0" fillId="0" borderId="1" xfId="1" applyNumberFormat="1" applyFont="1" applyBorder="1" applyAlignment="1">
      <alignment horizontal="center"/>
    </xf>
    <xf numFmtId="165" fontId="0" fillId="0" borderId="1" xfId="1" applyNumberFormat="1" applyFont="1" applyBorder="1" applyAlignment="1">
      <alignment horizontal="center"/>
    </xf>
    <xf numFmtId="173" fontId="0" fillId="0" borderId="0" xfId="7" applyNumberFormat="1" applyFont="1"/>
    <xf numFmtId="173" fontId="0" fillId="0" borderId="0" xfId="7" applyNumberFormat="1" applyFont="1" applyFill="1" applyBorder="1" applyAlignment="1">
      <alignment horizontal="center"/>
    </xf>
    <xf numFmtId="9" fontId="0" fillId="0" borderId="0" xfId="8" applyFont="1"/>
    <xf numFmtId="174" fontId="0" fillId="0" borderId="0" xfId="7" applyNumberFormat="1" applyFont="1" applyFill="1" applyBorder="1" applyAlignment="1">
      <alignment horizontal="center"/>
    </xf>
    <xf numFmtId="174" fontId="0" fillId="0" borderId="0" xfId="7" applyNumberFormat="1" applyFont="1"/>
  </cellXfs>
  <cellStyles count="9">
    <cellStyle name="Accent1" xfId="6" builtinId="29"/>
    <cellStyle name="Accent5" xfId="3" builtinId="45"/>
    <cellStyle name="Comma" xfId="7" builtinId="3"/>
    <cellStyle name="Currency" xfId="1" builtinId="4"/>
    <cellStyle name="Good" xfId="5" builtinId="26"/>
    <cellStyle name="Hyperlink" xfId="2" builtinId="8"/>
    <cellStyle name="Normal" xfId="0" builtinId="0"/>
    <cellStyle name="Normal 2" xfId="4"/>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333375</xdr:colOff>
      <xdr:row>2</xdr:row>
      <xdr:rowOff>25241</xdr:rowOff>
    </xdr:from>
    <xdr:to>
      <xdr:col>28</xdr:col>
      <xdr:colOff>447675</xdr:colOff>
      <xdr:row>14</xdr:row>
      <xdr:rowOff>19050</xdr:rowOff>
    </xdr:to>
    <xdr:pic>
      <xdr:nvPicPr>
        <xdr:cNvPr id="3" name="Picture 2" descr="http://content.healthaffairs.org/content/22/2/230/F3.large.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06175" y="406241"/>
          <a:ext cx="6210300" cy="2279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urrent-oncology.com/index.php/oncology/pages/view/reprint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usrds.org/2015/view/v2_12.aspx" TargetMode="External"/><Relationship Id="rId1" Type="http://schemas.openxmlformats.org/officeDocument/2006/relationships/hyperlink" Target="http://www.usrds.org/2015/view/v2_11.aspx"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nscisc.uab.edu/"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www.ncbi.nlm.nih.gov/pubmed/25911108" TargetMode="External"/><Relationship Id="rId1" Type="http://schemas.openxmlformats.org/officeDocument/2006/relationships/hyperlink" Target="http://www.npr.org/sections/health-shots/2015/05/25/408021704/multiple-sclerosis-patients-stressed-out-by-soaring-drug-costs"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metlife.com/assets/institutional/services/insights-and-tools/ebts/accident-critical-illness-whitepaper-feb2014.pdf"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http://jnci.oxfordjournals.org/content/103/2/117.full.pdf" TargetMode="External"/><Relationship Id="rId1" Type="http://schemas.openxmlformats.org/officeDocument/2006/relationships/hyperlink" Target="http://costprojections.cancer.gov/annual.cost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costprojections.cancer.gov/graph.php"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ncbi.nlm.nih.gov/pubmed/230414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workbookViewId="0">
      <selection activeCell="E10" sqref="E10"/>
    </sheetView>
  </sheetViews>
  <sheetFormatPr defaultRowHeight="15" outlineLevelRow="1" outlineLevelCol="1" x14ac:dyDescent="0.25"/>
  <cols>
    <col min="1" max="1" width="22" bestFit="1" customWidth="1"/>
    <col min="2" max="2" width="15" bestFit="1" customWidth="1"/>
    <col min="3" max="3" width="15.85546875" style="40" hidden="1" customWidth="1" outlineLevel="1"/>
    <col min="4" max="4" width="23.28515625" customWidth="1" collapsed="1"/>
    <col min="5" max="5" width="29.42578125" customWidth="1"/>
    <col min="6" max="6" width="31.85546875" style="40" bestFit="1" customWidth="1"/>
    <col min="7" max="7" width="31" style="40" customWidth="1"/>
    <col min="8" max="8" width="114.28515625" customWidth="1"/>
  </cols>
  <sheetData>
    <row r="1" spans="1:8" s="1" customFormat="1" ht="75" x14ac:dyDescent="0.25">
      <c r="B1" s="49" t="s">
        <v>514</v>
      </c>
      <c r="C1" s="49" t="s">
        <v>502</v>
      </c>
      <c r="D1" s="49" t="s">
        <v>511</v>
      </c>
      <c r="E1" s="49" t="s">
        <v>512</v>
      </c>
      <c r="F1" s="50" t="s">
        <v>430</v>
      </c>
      <c r="G1" s="50" t="s">
        <v>431</v>
      </c>
      <c r="H1" s="1" t="s">
        <v>437</v>
      </c>
    </row>
    <row r="2" spans="1:8" ht="30" x14ac:dyDescent="0.25">
      <c r="A2" s="44" t="s">
        <v>1</v>
      </c>
      <c r="B2" s="60">
        <f>'Cancer 2'!I9</f>
        <v>52909.716979272707</v>
      </c>
      <c r="C2" s="60">
        <f>(0.148-LN(B2)*0.01)*B2</f>
        <v>2075.9961912965191</v>
      </c>
      <c r="D2" s="45">
        <v>26</v>
      </c>
      <c r="E2" s="45">
        <v>14</v>
      </c>
      <c r="F2" s="51" t="s">
        <v>153</v>
      </c>
      <c r="G2" s="51" t="s">
        <v>261</v>
      </c>
      <c r="H2" s="6" t="s">
        <v>411</v>
      </c>
    </row>
    <row r="3" spans="1:8" x14ac:dyDescent="0.25">
      <c r="A3" s="44" t="s">
        <v>10</v>
      </c>
      <c r="B3" s="60">
        <f>'Cancer In Situ'!M29</f>
        <v>22255.938379777599</v>
      </c>
      <c r="C3" s="60">
        <f t="shared" ref="C3:C12" si="0">(0.148-LN(B3)*0.01)*B3</f>
        <v>1065.9784044026437</v>
      </c>
      <c r="D3" s="45">
        <v>18</v>
      </c>
      <c r="E3" s="45">
        <v>0</v>
      </c>
      <c r="F3" s="51" t="s">
        <v>230</v>
      </c>
      <c r="G3" s="51" t="s">
        <v>230</v>
      </c>
    </row>
    <row r="4" spans="1:8" x14ac:dyDescent="0.25">
      <c r="A4" s="44" t="s">
        <v>6</v>
      </c>
      <c r="B4" s="60">
        <f>'Heart Attack'!H15</f>
        <v>59531.338753279641</v>
      </c>
      <c r="C4" s="60">
        <f t="shared" si="0"/>
        <v>2265.6090700539357</v>
      </c>
      <c r="D4" s="45">
        <v>60</v>
      </c>
      <c r="E4" s="45" t="s">
        <v>408</v>
      </c>
      <c r="F4" s="51" t="s">
        <v>412</v>
      </c>
      <c r="G4" s="51" t="s">
        <v>412</v>
      </c>
      <c r="H4" t="s">
        <v>412</v>
      </c>
    </row>
    <row r="5" spans="1:8" x14ac:dyDescent="0.25">
      <c r="A5" s="44" t="s">
        <v>13</v>
      </c>
      <c r="B5" s="60">
        <f>'Coronary Bypass'!H20</f>
        <v>95413.933326004029</v>
      </c>
      <c r="C5" s="60">
        <f t="shared" si="0"/>
        <v>3181.1197168093836</v>
      </c>
      <c r="D5" s="45">
        <v>40</v>
      </c>
      <c r="E5" s="45" t="s">
        <v>408</v>
      </c>
      <c r="F5" s="51" t="s">
        <v>412</v>
      </c>
      <c r="G5" s="52" t="s">
        <v>182</v>
      </c>
      <c r="H5" s="40" t="s">
        <v>412</v>
      </c>
    </row>
    <row r="6" spans="1:8" x14ac:dyDescent="0.25">
      <c r="A6" s="44" t="s">
        <v>0</v>
      </c>
      <c r="B6" s="60">
        <f>Stroke!Q39</f>
        <v>52459.991337193838</v>
      </c>
      <c r="C6" s="60">
        <f t="shared" si="0"/>
        <v>2062.8285854451456</v>
      </c>
      <c r="D6" s="45">
        <v>125</v>
      </c>
      <c r="E6" s="45" t="s">
        <v>408</v>
      </c>
      <c r="F6" s="51" t="s">
        <v>412</v>
      </c>
      <c r="G6" s="51" t="s">
        <v>412</v>
      </c>
      <c r="H6" s="40" t="s">
        <v>412</v>
      </c>
    </row>
    <row r="7" spans="1:8" ht="30" x14ac:dyDescent="0.25">
      <c r="A7" s="44" t="s">
        <v>15</v>
      </c>
      <c r="B7" s="60">
        <f>Transplant!H45</f>
        <v>297224.47570154082</v>
      </c>
      <c r="C7" s="60">
        <f t="shared" si="0"/>
        <v>6532.2718906142618</v>
      </c>
      <c r="D7" s="45">
        <v>83</v>
      </c>
      <c r="E7" s="45" t="s">
        <v>408</v>
      </c>
      <c r="F7" s="51" t="s">
        <v>291</v>
      </c>
      <c r="G7" s="52" t="s">
        <v>182</v>
      </c>
    </row>
    <row r="8" spans="1:8" ht="30" x14ac:dyDescent="0.25">
      <c r="A8" s="44" t="s">
        <v>14</v>
      </c>
      <c r="B8" s="60">
        <f>Renal!K14</f>
        <v>122243.94612823984</v>
      </c>
      <c r="C8" s="60">
        <f t="shared" si="0"/>
        <v>3772.7245885757843</v>
      </c>
      <c r="D8" s="45">
        <v>63</v>
      </c>
      <c r="E8" s="45" t="s">
        <v>408</v>
      </c>
      <c r="F8" s="51" t="s">
        <v>438</v>
      </c>
      <c r="G8" s="52" t="s">
        <v>381</v>
      </c>
    </row>
    <row r="9" spans="1:8" ht="30" x14ac:dyDescent="0.25">
      <c r="A9" s="44" t="s">
        <v>16</v>
      </c>
      <c r="B9" s="60">
        <f>Paralysis!H16</f>
        <v>719935.72053645167</v>
      </c>
      <c r="C9" s="60">
        <f t="shared" si="0"/>
        <v>9453.3520456130991</v>
      </c>
      <c r="D9" s="45">
        <v>125</v>
      </c>
      <c r="E9" s="45">
        <v>94</v>
      </c>
      <c r="F9" s="51" t="s">
        <v>304</v>
      </c>
      <c r="G9" s="51" t="s">
        <v>304</v>
      </c>
      <c r="H9" s="1" t="s">
        <v>421</v>
      </c>
    </row>
    <row r="10" spans="1:8" ht="30" x14ac:dyDescent="0.25">
      <c r="A10" s="44" t="s">
        <v>12</v>
      </c>
      <c r="B10" s="60">
        <f>Coma!H29</f>
        <v>206901.27439559513</v>
      </c>
      <c r="C10" s="60">
        <f t="shared" si="0"/>
        <v>5296.6787835835739</v>
      </c>
      <c r="D10" s="45">
        <v>125</v>
      </c>
      <c r="E10" s="45">
        <v>72</v>
      </c>
      <c r="F10" s="51" t="s">
        <v>392</v>
      </c>
      <c r="G10" s="51" t="s">
        <v>392</v>
      </c>
    </row>
    <row r="11" spans="1:8" x14ac:dyDescent="0.25">
      <c r="A11" s="44" t="s">
        <v>11</v>
      </c>
      <c r="B11" s="60">
        <f>Blindness!H26</f>
        <v>16464.01814376784</v>
      </c>
      <c r="C11" s="60">
        <f t="shared" si="0"/>
        <v>838.19426701660279</v>
      </c>
      <c r="D11" s="45">
        <v>65</v>
      </c>
      <c r="E11" s="45">
        <v>11</v>
      </c>
      <c r="F11" s="51" t="s">
        <v>360</v>
      </c>
      <c r="G11" s="52" t="s">
        <v>360</v>
      </c>
      <c r="H11" t="s">
        <v>422</v>
      </c>
    </row>
    <row r="12" spans="1:8" hidden="1" outlineLevel="1" x14ac:dyDescent="0.25">
      <c r="A12" s="44" t="s">
        <v>19</v>
      </c>
      <c r="B12" s="59">
        <v>64917</v>
      </c>
      <c r="C12" s="60">
        <f t="shared" si="0"/>
        <v>2414.3509913962375</v>
      </c>
      <c r="D12" s="45">
        <v>0</v>
      </c>
      <c r="E12" s="45">
        <v>0</v>
      </c>
      <c r="F12" s="51" t="s">
        <v>143</v>
      </c>
      <c r="G12" s="51" t="s">
        <v>432</v>
      </c>
      <c r="H12" s="40" t="s">
        <v>144</v>
      </c>
    </row>
    <row r="13" spans="1:8" collapsed="1" x14ac:dyDescent="0.25"/>
    <row r="14" spans="1:8" x14ac:dyDescent="0.25">
      <c r="B14" s="62"/>
    </row>
    <row r="15" spans="1:8" x14ac:dyDescent="0.25">
      <c r="A15" s="61"/>
      <c r="C15" s="61"/>
      <c r="D15" s="61"/>
    </row>
    <row r="16" spans="1:8" x14ac:dyDescent="0.25">
      <c r="A16" s="61"/>
      <c r="B16" s="64"/>
      <c r="C16" s="61"/>
      <c r="D16" s="61"/>
    </row>
    <row r="17" spans="1:4" x14ac:dyDescent="0.25">
      <c r="A17" s="63"/>
      <c r="B17" s="65"/>
      <c r="C17" s="61"/>
      <c r="D17" s="61"/>
    </row>
    <row r="18" spans="1:4" x14ac:dyDescent="0.25">
      <c r="A18" s="61"/>
      <c r="B18" s="61"/>
      <c r="C18" s="61"/>
      <c r="D18" s="61"/>
    </row>
    <row r="19" spans="1:4" x14ac:dyDescent="0.25">
      <c r="A19" s="61"/>
      <c r="B19" s="61"/>
      <c r="C19" s="61"/>
      <c r="D19" s="61"/>
    </row>
    <row r="20" spans="1:4" x14ac:dyDescent="0.25">
      <c r="A20" s="61"/>
      <c r="B20" s="61"/>
      <c r="C20" s="61"/>
      <c r="D20" s="61"/>
    </row>
    <row r="21" spans="1:4" x14ac:dyDescent="0.25">
      <c r="A21" s="61"/>
      <c r="B21" s="61"/>
      <c r="C21" s="61"/>
      <c r="D21" s="61"/>
    </row>
    <row r="22" spans="1:4" x14ac:dyDescent="0.25">
      <c r="A22" s="61"/>
      <c r="B22" s="61"/>
      <c r="C22" s="61"/>
      <c r="D22" s="61"/>
    </row>
    <row r="23" spans="1:4" x14ac:dyDescent="0.25">
      <c r="A23" s="61"/>
      <c r="B23" s="61"/>
      <c r="C23" s="61"/>
      <c r="D23" s="61"/>
    </row>
    <row r="24" spans="1:4" x14ac:dyDescent="0.25">
      <c r="A24" s="61"/>
      <c r="B24" s="61"/>
      <c r="C24" s="61"/>
      <c r="D24" s="61"/>
    </row>
    <row r="25" spans="1:4" x14ac:dyDescent="0.25">
      <c r="A25" s="61"/>
      <c r="B25" s="61"/>
      <c r="C25" s="61"/>
      <c r="D25" s="61"/>
    </row>
    <row r="26" spans="1:4" x14ac:dyDescent="0.25">
      <c r="A26" s="61"/>
      <c r="B26" s="61"/>
      <c r="C26" s="61"/>
      <c r="D26" s="61"/>
    </row>
    <row r="27" spans="1:4" x14ac:dyDescent="0.25">
      <c r="A27" s="61"/>
      <c r="B27" s="61">
        <f>B26/1.02*0.02</f>
        <v>0</v>
      </c>
      <c r="C27" s="61"/>
      <c r="D27" s="61"/>
    </row>
    <row r="28" spans="1:4" x14ac:dyDescent="0.25">
      <c r="A28" s="61"/>
      <c r="B28" s="61"/>
      <c r="C28" s="61"/>
      <c r="D28" s="61"/>
    </row>
  </sheetData>
  <hyperlinks>
    <hyperlink ref="H2"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13" workbookViewId="0">
      <selection activeCell="D31" sqref="D31"/>
    </sheetView>
  </sheetViews>
  <sheetFormatPr defaultRowHeight="15" x14ac:dyDescent="0.25"/>
  <cols>
    <col min="1" max="1" width="36.85546875" customWidth="1"/>
    <col min="2" max="2" width="5" bestFit="1" customWidth="1"/>
    <col min="3" max="3" width="12.5703125" bestFit="1" customWidth="1"/>
    <col min="4" max="4" width="15.85546875" bestFit="1" customWidth="1"/>
    <col min="5" max="6" width="15.85546875" customWidth="1"/>
    <col min="7" max="7" width="26.5703125" customWidth="1"/>
    <col min="8" max="8" width="16.140625" bestFit="1" customWidth="1"/>
    <col min="9" max="9" width="14.28515625" bestFit="1" customWidth="1"/>
    <col min="10" max="10" width="19" bestFit="1" customWidth="1"/>
  </cols>
  <sheetData>
    <row r="1" spans="1:10" x14ac:dyDescent="0.25">
      <c r="A1" t="s">
        <v>92</v>
      </c>
      <c r="B1" t="s">
        <v>5</v>
      </c>
      <c r="C1" t="s">
        <v>119</v>
      </c>
      <c r="D1" s="7" t="s">
        <v>491</v>
      </c>
      <c r="E1" t="s">
        <v>139</v>
      </c>
      <c r="F1" t="s">
        <v>147</v>
      </c>
      <c r="G1" t="s">
        <v>93</v>
      </c>
    </row>
    <row r="2" spans="1:10" ht="45" x14ac:dyDescent="0.25">
      <c r="A2" s="1" t="s">
        <v>219</v>
      </c>
      <c r="B2">
        <v>2014</v>
      </c>
      <c r="C2" s="3">
        <f>J20</f>
        <v>586064.04916283651</v>
      </c>
      <c r="E2" t="s">
        <v>3</v>
      </c>
      <c r="F2" t="s">
        <v>148</v>
      </c>
      <c r="G2" t="s">
        <v>20</v>
      </c>
    </row>
    <row r="3" spans="1:10" x14ac:dyDescent="0.25">
      <c r="F3" t="s">
        <v>239</v>
      </c>
      <c r="G3" t="s">
        <v>73</v>
      </c>
      <c r="H3" t="s">
        <v>74</v>
      </c>
      <c r="I3" t="s">
        <v>75</v>
      </c>
      <c r="J3" t="s">
        <v>91</v>
      </c>
    </row>
    <row r="4" spans="1:10" x14ac:dyDescent="0.25">
      <c r="G4" t="s">
        <v>76</v>
      </c>
      <c r="H4">
        <v>8709</v>
      </c>
      <c r="I4" s="3">
        <v>930600</v>
      </c>
      <c r="J4" s="3">
        <f>H4*I4</f>
        <v>8104595400</v>
      </c>
    </row>
    <row r="5" spans="1:10" x14ac:dyDescent="0.25">
      <c r="G5" t="s">
        <v>77</v>
      </c>
      <c r="H5">
        <v>12460</v>
      </c>
      <c r="I5" s="3">
        <v>378000</v>
      </c>
      <c r="J5" s="3">
        <f t="shared" ref="J5:J18" si="0">H5*I5</f>
        <v>4709880000</v>
      </c>
    </row>
    <row r="6" spans="1:10" x14ac:dyDescent="0.25">
      <c r="G6" t="s">
        <v>78</v>
      </c>
      <c r="H6">
        <v>2320</v>
      </c>
      <c r="I6" s="3">
        <v>1242200</v>
      </c>
      <c r="J6" s="3">
        <f t="shared" si="0"/>
        <v>2881904000</v>
      </c>
    </row>
    <row r="7" spans="1:10" x14ac:dyDescent="0.25">
      <c r="G7" t="s">
        <v>79</v>
      </c>
      <c r="H7">
        <v>51</v>
      </c>
      <c r="I7" s="3">
        <v>1547200</v>
      </c>
      <c r="J7" s="3">
        <f t="shared" si="0"/>
        <v>78907200</v>
      </c>
    </row>
    <row r="8" spans="1:10" x14ac:dyDescent="0.25">
      <c r="G8" t="s">
        <v>80</v>
      </c>
      <c r="H8">
        <v>15978</v>
      </c>
      <c r="I8" s="3">
        <v>334300</v>
      </c>
      <c r="J8" s="3">
        <f t="shared" si="0"/>
        <v>5341445400</v>
      </c>
    </row>
    <row r="9" spans="1:10" x14ac:dyDescent="0.25">
      <c r="G9" t="s">
        <v>81</v>
      </c>
      <c r="H9">
        <v>5723</v>
      </c>
      <c r="I9" s="3">
        <v>739100</v>
      </c>
      <c r="J9" s="3">
        <f t="shared" si="0"/>
        <v>4229869300</v>
      </c>
    </row>
    <row r="10" spans="1:10" x14ac:dyDescent="0.25">
      <c r="G10" t="s">
        <v>82</v>
      </c>
      <c r="H10">
        <v>681</v>
      </c>
      <c r="I10" s="3">
        <v>785000</v>
      </c>
      <c r="J10" s="3">
        <f t="shared" si="0"/>
        <v>534585000</v>
      </c>
    </row>
    <row r="11" spans="1:10" x14ac:dyDescent="0.25">
      <c r="G11" t="s">
        <v>83</v>
      </c>
      <c r="H11">
        <v>1220</v>
      </c>
      <c r="I11" s="3">
        <v>1037700</v>
      </c>
      <c r="J11" s="3">
        <f t="shared" si="0"/>
        <v>1265994000</v>
      </c>
    </row>
    <row r="12" spans="1:10" x14ac:dyDescent="0.25">
      <c r="G12" t="s">
        <v>84</v>
      </c>
      <c r="H12">
        <v>149</v>
      </c>
      <c r="I12" s="3">
        <v>317500</v>
      </c>
      <c r="J12" s="3">
        <f t="shared" si="0"/>
        <v>47307500</v>
      </c>
    </row>
    <row r="13" spans="1:10" x14ac:dyDescent="0.25">
      <c r="G13" t="s">
        <v>85</v>
      </c>
      <c r="H13">
        <v>29</v>
      </c>
      <c r="I13" s="3">
        <v>2313600</v>
      </c>
      <c r="J13" s="3">
        <f t="shared" si="0"/>
        <v>67094400</v>
      </c>
    </row>
    <row r="14" spans="1:10" x14ac:dyDescent="0.25">
      <c r="G14" t="s">
        <v>86</v>
      </c>
      <c r="H14">
        <v>49</v>
      </c>
      <c r="I14" s="3">
        <v>1844700</v>
      </c>
      <c r="J14" s="3">
        <f t="shared" si="0"/>
        <v>90390300</v>
      </c>
    </row>
    <row r="15" spans="1:10" x14ac:dyDescent="0.25">
      <c r="G15" t="s">
        <v>87</v>
      </c>
      <c r="H15">
        <v>85</v>
      </c>
      <c r="I15" s="3">
        <v>1840300</v>
      </c>
      <c r="J15" s="3">
        <f t="shared" si="0"/>
        <v>156425500</v>
      </c>
    </row>
    <row r="16" spans="1:10" x14ac:dyDescent="0.25">
      <c r="G16" t="s">
        <v>88</v>
      </c>
      <c r="H16">
        <v>773</v>
      </c>
      <c r="I16" s="3">
        <v>558600</v>
      </c>
      <c r="J16" s="3">
        <f t="shared" si="0"/>
        <v>431797800</v>
      </c>
    </row>
    <row r="17" spans="1:10" x14ac:dyDescent="0.25">
      <c r="G17" t="s">
        <v>89</v>
      </c>
      <c r="H17">
        <v>471</v>
      </c>
      <c r="I17" s="3">
        <v>1190300</v>
      </c>
      <c r="J17" s="3">
        <f t="shared" si="0"/>
        <v>560631300</v>
      </c>
    </row>
    <row r="18" spans="1:10" x14ac:dyDescent="0.25">
      <c r="G18" t="s">
        <v>90</v>
      </c>
      <c r="H18">
        <v>38</v>
      </c>
      <c r="I18" s="3">
        <v>1620800</v>
      </c>
      <c r="J18" s="3">
        <f t="shared" si="0"/>
        <v>61590400</v>
      </c>
    </row>
    <row r="19" spans="1:10" x14ac:dyDescent="0.25">
      <c r="G19" t="s">
        <v>91</v>
      </c>
      <c r="H19">
        <f>SUM(H4:H18)</f>
        <v>48736</v>
      </c>
      <c r="J19" s="3">
        <f t="shared" ref="J19" si="1">SUM(J4:J18)</f>
        <v>28562417500</v>
      </c>
    </row>
    <row r="20" spans="1:10" x14ac:dyDescent="0.25">
      <c r="G20" t="s">
        <v>40</v>
      </c>
      <c r="J20" s="4">
        <f>J19/H19</f>
        <v>586064.04916283651</v>
      </c>
    </row>
    <row r="21" spans="1:10" x14ac:dyDescent="0.25">
      <c r="G21" t="s">
        <v>221</v>
      </c>
      <c r="J21" s="4"/>
    </row>
    <row r="22" spans="1:10" x14ac:dyDescent="0.25">
      <c r="G22" t="s">
        <v>222</v>
      </c>
      <c r="J22" s="4"/>
    </row>
    <row r="24" spans="1:10" x14ac:dyDescent="0.25">
      <c r="A24" t="s">
        <v>145</v>
      </c>
      <c r="B24">
        <v>2008</v>
      </c>
      <c r="C24" s="2">
        <v>51000</v>
      </c>
      <c r="E24" t="s">
        <v>3</v>
      </c>
      <c r="F24" t="s">
        <v>148</v>
      </c>
      <c r="G24" t="s">
        <v>146</v>
      </c>
    </row>
    <row r="26" spans="1:10" x14ac:dyDescent="0.25">
      <c r="A26" t="s">
        <v>216</v>
      </c>
      <c r="B26">
        <v>2012</v>
      </c>
      <c r="C26" s="3">
        <v>676328</v>
      </c>
      <c r="E26" t="s">
        <v>149</v>
      </c>
      <c r="F26" t="s">
        <v>178</v>
      </c>
      <c r="G26" t="s">
        <v>218</v>
      </c>
    </row>
    <row r="27" spans="1:10" x14ac:dyDescent="0.25">
      <c r="F27" t="s">
        <v>239</v>
      </c>
      <c r="G27" t="s">
        <v>217</v>
      </c>
    </row>
    <row r="28" spans="1:10" x14ac:dyDescent="0.25">
      <c r="G28" t="s">
        <v>220</v>
      </c>
    </row>
    <row r="30" spans="1:10" x14ac:dyDescent="0.25">
      <c r="A30" s="40" t="s">
        <v>413</v>
      </c>
      <c r="B30" s="40"/>
      <c r="C30" s="40"/>
      <c r="D30" s="35">
        <v>83</v>
      </c>
      <c r="E30" s="40" t="s">
        <v>154</v>
      </c>
      <c r="F30" s="40" t="s">
        <v>4</v>
      </c>
      <c r="G30" s="40" t="s">
        <v>414</v>
      </c>
      <c r="H30" s="40"/>
    </row>
    <row r="31" spans="1:10" x14ac:dyDescent="0.25">
      <c r="A31" s="40"/>
      <c r="B31" s="40"/>
      <c r="C31" s="40"/>
      <c r="D31" s="40"/>
      <c r="E31" s="40"/>
      <c r="F31" s="40"/>
      <c r="G31" s="40" t="s">
        <v>415</v>
      </c>
      <c r="H31" s="40"/>
    </row>
    <row r="32" spans="1:10" x14ac:dyDescent="0.25">
      <c r="A32" s="40"/>
      <c r="B32" s="40"/>
      <c r="C32" s="40"/>
      <c r="D32" s="40"/>
      <c r="E32" s="40"/>
      <c r="F32" s="40"/>
      <c r="G32" s="40" t="s">
        <v>416</v>
      </c>
      <c r="H32" s="40"/>
    </row>
    <row r="33" spans="1:9" s="40" customFormat="1" x14ac:dyDescent="0.25">
      <c r="G33" s="34" t="s">
        <v>504</v>
      </c>
    </row>
    <row r="34" spans="1:9" s="40" customFormat="1" x14ac:dyDescent="0.25">
      <c r="G34" s="34" t="s">
        <v>320</v>
      </c>
    </row>
    <row r="36" spans="1:9" ht="30" x14ac:dyDescent="0.25">
      <c r="A36" s="1" t="s">
        <v>291</v>
      </c>
      <c r="B36">
        <v>2012</v>
      </c>
      <c r="C36" s="20">
        <f>I44</f>
        <v>216293.4136747845</v>
      </c>
      <c r="E36" t="s">
        <v>154</v>
      </c>
      <c r="F36" t="s">
        <v>4</v>
      </c>
      <c r="G36" t="s">
        <v>292</v>
      </c>
    </row>
    <row r="37" spans="1:9" x14ac:dyDescent="0.25">
      <c r="F37" t="s">
        <v>322</v>
      </c>
      <c r="G37" t="s">
        <v>296</v>
      </c>
    </row>
    <row r="38" spans="1:9" x14ac:dyDescent="0.25">
      <c r="G38" t="s">
        <v>293</v>
      </c>
      <c r="H38" t="s">
        <v>74</v>
      </c>
      <c r="I38" t="s">
        <v>119</v>
      </c>
    </row>
    <row r="39" spans="1:9" x14ac:dyDescent="0.25">
      <c r="G39" t="s">
        <v>31</v>
      </c>
      <c r="H39">
        <v>18837</v>
      </c>
      <c r="I39">
        <v>200000</v>
      </c>
    </row>
    <row r="40" spans="1:9" x14ac:dyDescent="0.25">
      <c r="G40" t="s">
        <v>37</v>
      </c>
      <c r="H40">
        <v>1046</v>
      </c>
      <c r="I40">
        <v>230000</v>
      </c>
    </row>
    <row r="41" spans="1:9" x14ac:dyDescent="0.25">
      <c r="G41" t="s">
        <v>294</v>
      </c>
      <c r="H41">
        <v>2226</v>
      </c>
      <c r="I41">
        <v>250000</v>
      </c>
    </row>
    <row r="42" spans="1:9" x14ac:dyDescent="0.25">
      <c r="G42" t="s">
        <v>295</v>
      </c>
      <c r="H42">
        <v>904</v>
      </c>
      <c r="I42">
        <v>375000</v>
      </c>
    </row>
    <row r="43" spans="1:9" x14ac:dyDescent="0.25">
      <c r="G43" t="s">
        <v>33</v>
      </c>
      <c r="H43">
        <v>885</v>
      </c>
      <c r="I43">
        <v>300000</v>
      </c>
    </row>
    <row r="44" spans="1:9" x14ac:dyDescent="0.25">
      <c r="G44" t="s">
        <v>131</v>
      </c>
      <c r="I44">
        <f>SUMPRODUCT(H39:H43,I39:I43)/SUM(H39:H43)</f>
        <v>216293.4136747845</v>
      </c>
    </row>
    <row r="45" spans="1:9" ht="30" x14ac:dyDescent="0.25">
      <c r="G45" s="1" t="s">
        <v>407</v>
      </c>
      <c r="H45" s="35">
        <f>I44/0.81*'Medical Inflation'!F24</f>
        <v>297224.47570154082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D17" sqref="D17"/>
    </sheetView>
  </sheetViews>
  <sheetFormatPr defaultRowHeight="15" x14ac:dyDescent="0.25"/>
  <cols>
    <col min="1" max="1" width="26" customWidth="1"/>
    <col min="2" max="2" width="5.28515625" bestFit="1" customWidth="1"/>
    <col min="3" max="3" width="11.5703125" bestFit="1" customWidth="1"/>
    <col min="4" max="4" width="16.42578125" bestFit="1" customWidth="1"/>
    <col min="5" max="5" width="22" bestFit="1" customWidth="1"/>
    <col min="6" max="6" width="10.5703125" bestFit="1" customWidth="1"/>
    <col min="7" max="7" width="5.28515625" bestFit="1" customWidth="1"/>
  </cols>
  <sheetData>
    <row r="1" spans="1:13" x14ac:dyDescent="0.25">
      <c r="A1" s="7" t="s">
        <v>92</v>
      </c>
      <c r="B1" s="7" t="s">
        <v>5</v>
      </c>
      <c r="C1" s="7" t="s">
        <v>119</v>
      </c>
      <c r="D1" s="7" t="s">
        <v>491</v>
      </c>
      <c r="E1" s="7" t="s">
        <v>139</v>
      </c>
      <c r="F1" s="7" t="s">
        <v>147</v>
      </c>
      <c r="G1" s="7" t="s">
        <v>93</v>
      </c>
    </row>
    <row r="2" spans="1:13" x14ac:dyDescent="0.25">
      <c r="A2" t="s">
        <v>310</v>
      </c>
      <c r="B2">
        <v>2013</v>
      </c>
      <c r="C2" s="20">
        <v>91692</v>
      </c>
      <c r="E2" t="s">
        <v>154</v>
      </c>
      <c r="F2" t="s">
        <v>150</v>
      </c>
      <c r="G2" s="6" t="s">
        <v>298</v>
      </c>
    </row>
    <row r="3" spans="1:13" x14ac:dyDescent="0.25">
      <c r="F3" t="s">
        <v>322</v>
      </c>
      <c r="G3" t="s">
        <v>299</v>
      </c>
    </row>
    <row r="4" spans="1:13" x14ac:dyDescent="0.25">
      <c r="G4" t="s">
        <v>300</v>
      </c>
    </row>
    <row r="5" spans="1:13" x14ac:dyDescent="0.25">
      <c r="G5" t="s">
        <v>301</v>
      </c>
    </row>
    <row r="6" spans="1:13" x14ac:dyDescent="0.25">
      <c r="G6" t="s">
        <v>302</v>
      </c>
    </row>
    <row r="7" spans="1:13" x14ac:dyDescent="0.25">
      <c r="G7" t="s">
        <v>326</v>
      </c>
    </row>
    <row r="8" spans="1:13" s="38" customFormat="1" x14ac:dyDescent="0.25">
      <c r="G8" s="38" t="s">
        <v>436</v>
      </c>
    </row>
    <row r="9" spans="1:13" s="38" customFormat="1" x14ac:dyDescent="0.25"/>
    <row r="10" spans="1:13" s="38" customFormat="1" x14ac:dyDescent="0.25">
      <c r="G10" s="6" t="s">
        <v>327</v>
      </c>
    </row>
    <row r="11" spans="1:13" s="38" customFormat="1" x14ac:dyDescent="0.25">
      <c r="G11" s="38" t="s">
        <v>442</v>
      </c>
    </row>
    <row r="12" spans="1:13" s="38" customFormat="1" x14ac:dyDescent="0.25"/>
    <row r="13" spans="1:13" s="38" customFormat="1" x14ac:dyDescent="0.25">
      <c r="G13" s="38" t="s">
        <v>328</v>
      </c>
    </row>
    <row r="14" spans="1:13" s="38" customFormat="1" x14ac:dyDescent="0.25">
      <c r="G14" s="38" t="s">
        <v>407</v>
      </c>
      <c r="K14" s="35">
        <f>91692/0.81*'Medical Inflation'!F25</f>
        <v>122243.94612823984</v>
      </c>
      <c r="M14" s="55" t="s">
        <v>500</v>
      </c>
    </row>
    <row r="15" spans="1:13" s="40" customFormat="1" x14ac:dyDescent="0.25"/>
    <row r="16" spans="1:13" ht="45" x14ac:dyDescent="0.25">
      <c r="A16" s="1" t="s">
        <v>381</v>
      </c>
      <c r="D16" s="35">
        <v>63</v>
      </c>
      <c r="E16" t="s">
        <v>154</v>
      </c>
      <c r="G16" t="s">
        <v>380</v>
      </c>
    </row>
    <row r="17" spans="7:7" x14ac:dyDescent="0.25">
      <c r="G17" t="s">
        <v>382</v>
      </c>
    </row>
    <row r="18" spans="7:7" x14ac:dyDescent="0.25">
      <c r="G18" s="34" t="s">
        <v>505</v>
      </c>
    </row>
  </sheetData>
  <hyperlinks>
    <hyperlink ref="G2" r:id="rId1"/>
    <hyperlink ref="G10" r:id="rId2"/>
  </hyperlinks>
  <pageMargins left="0.7" right="0.7" top="0.75" bottom="0.75" header="0.3" footer="0.3"/>
  <pageSetup paperSize="9" orientation="portrait" horizontalDpi="4294967293" verticalDpi="4294967293"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H16" sqref="H16"/>
    </sheetView>
  </sheetViews>
  <sheetFormatPr defaultRowHeight="15" x14ac:dyDescent="0.25"/>
  <cols>
    <col min="1" max="1" width="20.7109375" bestFit="1" customWidth="1"/>
    <col min="4" max="4" width="16.42578125" bestFit="1" customWidth="1"/>
    <col min="5" max="5" width="16.85546875" bestFit="1" customWidth="1"/>
    <col min="7" max="7" width="18.42578125" customWidth="1"/>
  </cols>
  <sheetData>
    <row r="1" spans="1:10" x14ac:dyDescent="0.25">
      <c r="A1" s="7" t="s">
        <v>92</v>
      </c>
      <c r="B1" s="7" t="s">
        <v>5</v>
      </c>
      <c r="C1" s="7" t="s">
        <v>119</v>
      </c>
      <c r="D1" s="7" t="s">
        <v>491</v>
      </c>
      <c r="E1" s="7" t="s">
        <v>139</v>
      </c>
      <c r="F1" s="7" t="s">
        <v>147</v>
      </c>
      <c r="G1" s="7" t="s">
        <v>93</v>
      </c>
    </row>
    <row r="2" spans="1:10" x14ac:dyDescent="0.25">
      <c r="A2" t="s">
        <v>304</v>
      </c>
      <c r="B2">
        <v>2014</v>
      </c>
      <c r="C2" s="35">
        <f>I8</f>
        <v>682839.67647058819</v>
      </c>
      <c r="D2" s="35">
        <v>125</v>
      </c>
      <c r="E2" t="s">
        <v>149</v>
      </c>
      <c r="F2" t="s">
        <v>4</v>
      </c>
      <c r="G2" t="s">
        <v>344</v>
      </c>
    </row>
    <row r="3" spans="1:10" s="38" customFormat="1" x14ac:dyDescent="0.25">
      <c r="G3" s="6" t="s">
        <v>347</v>
      </c>
    </row>
    <row r="4" spans="1:10" x14ac:dyDescent="0.25">
      <c r="G4" t="s">
        <v>73</v>
      </c>
      <c r="H4" t="s">
        <v>119</v>
      </c>
      <c r="I4" t="s">
        <v>348</v>
      </c>
    </row>
    <row r="5" spans="1:10" x14ac:dyDescent="0.25">
      <c r="G5" t="s">
        <v>305</v>
      </c>
      <c r="H5">
        <v>1064716</v>
      </c>
      <c r="I5" s="41">
        <v>7.0000000000000007E-2</v>
      </c>
      <c r="J5" s="34" t="s">
        <v>349</v>
      </c>
    </row>
    <row r="6" spans="1:10" x14ac:dyDescent="0.25">
      <c r="G6" t="s">
        <v>306</v>
      </c>
      <c r="H6">
        <v>769351</v>
      </c>
      <c r="I6" s="41">
        <v>7.0000000000000007E-2</v>
      </c>
    </row>
    <row r="7" spans="1:10" x14ac:dyDescent="0.25">
      <c r="G7" t="s">
        <v>307</v>
      </c>
      <c r="H7">
        <v>518904</v>
      </c>
      <c r="I7" s="41">
        <v>0.2</v>
      </c>
    </row>
    <row r="8" spans="1:10" x14ac:dyDescent="0.25">
      <c r="G8" t="s">
        <v>131</v>
      </c>
      <c r="I8">
        <f>SUMPRODUCT(H5:H7,I5:I7)/SUM(I5:I7)</f>
        <v>682839.67647058819</v>
      </c>
    </row>
    <row r="9" spans="1:10" s="40" customFormat="1" x14ac:dyDescent="0.25">
      <c r="G9" s="34" t="s">
        <v>507</v>
      </c>
    </row>
    <row r="10" spans="1:10" s="40" customFormat="1" x14ac:dyDescent="0.25">
      <c r="G10" s="58" t="s">
        <v>495</v>
      </c>
    </row>
    <row r="11" spans="1:10" x14ac:dyDescent="0.25">
      <c r="G11" s="34" t="s">
        <v>496</v>
      </c>
    </row>
    <row r="12" spans="1:10" s="40" customFormat="1" x14ac:dyDescent="0.25">
      <c r="G12" s="34" t="s">
        <v>508</v>
      </c>
    </row>
    <row r="13" spans="1:10" x14ac:dyDescent="0.25">
      <c r="G13" t="s">
        <v>345</v>
      </c>
    </row>
    <row r="14" spans="1:10" x14ac:dyDescent="0.25">
      <c r="G14" t="s">
        <v>346</v>
      </c>
    </row>
    <row r="15" spans="1:10" s="38" customFormat="1" x14ac:dyDescent="0.25">
      <c r="G15" s="34" t="s">
        <v>506</v>
      </c>
    </row>
    <row r="16" spans="1:10" s="38" customFormat="1" x14ac:dyDescent="0.25">
      <c r="G16" s="38" t="s">
        <v>406</v>
      </c>
      <c r="H16" s="35">
        <f>I8*'Medical Inflation'!F26</f>
        <v>719935.72053645167</v>
      </c>
    </row>
    <row r="17" spans="1:8" s="40" customFormat="1" x14ac:dyDescent="0.25"/>
    <row r="18" spans="1:8" ht="45" x14ac:dyDescent="0.25">
      <c r="A18" s="1" t="s">
        <v>392</v>
      </c>
      <c r="B18" s="40">
        <v>2009</v>
      </c>
      <c r="E18" t="s">
        <v>154</v>
      </c>
      <c r="G18" s="40" t="s">
        <v>397</v>
      </c>
    </row>
    <row r="19" spans="1:8" x14ac:dyDescent="0.25">
      <c r="G19" t="s">
        <v>398</v>
      </c>
    </row>
    <row r="20" spans="1:8" x14ac:dyDescent="0.25">
      <c r="G20" t="s">
        <v>399</v>
      </c>
    </row>
    <row r="21" spans="1:8" x14ac:dyDescent="0.25">
      <c r="G21" t="s">
        <v>400</v>
      </c>
    </row>
    <row r="22" spans="1:8" x14ac:dyDescent="0.25">
      <c r="G22" t="s">
        <v>401</v>
      </c>
    </row>
    <row r="23" spans="1:8" x14ac:dyDescent="0.25">
      <c r="G23" t="s">
        <v>402</v>
      </c>
      <c r="H23">
        <f>(40*0.14+22.9*0.2)/0.34</f>
        <v>29.941176470588232</v>
      </c>
    </row>
    <row r="24" spans="1:8" x14ac:dyDescent="0.25">
      <c r="G24" t="s">
        <v>403</v>
      </c>
      <c r="H24" s="35">
        <f>H23/40*125</f>
        <v>93.566176470588218</v>
      </c>
    </row>
  </sheetData>
  <hyperlinks>
    <hyperlink ref="G3" r:id="rId1"/>
  </hyperlinks>
  <pageMargins left="0.7" right="0.7" top="0.75" bottom="0.75" header="0.3" footer="0.3"/>
  <pageSetup paperSize="9" orientation="portrait" horizontalDpi="4294967293" verticalDpi="4294967293"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G29" sqref="G29"/>
    </sheetView>
  </sheetViews>
  <sheetFormatPr defaultRowHeight="15" x14ac:dyDescent="0.25"/>
  <cols>
    <col min="1" max="1" width="28" bestFit="1" customWidth="1"/>
    <col min="2" max="2" width="5.28515625" bestFit="1" customWidth="1"/>
    <col min="3" max="3" width="8" bestFit="1" customWidth="1"/>
    <col min="4" max="4" width="16.42578125" bestFit="1" customWidth="1"/>
    <col min="5" max="5" width="12.85546875" bestFit="1" customWidth="1"/>
    <col min="6" max="6" width="20.140625" bestFit="1" customWidth="1"/>
    <col min="7" max="7" width="11.28515625" customWidth="1"/>
  </cols>
  <sheetData>
    <row r="1" spans="1:8" x14ac:dyDescent="0.25">
      <c r="A1" s="7" t="s">
        <v>92</v>
      </c>
      <c r="B1" s="7" t="s">
        <v>5</v>
      </c>
      <c r="C1" s="7" t="s">
        <v>119</v>
      </c>
      <c r="D1" s="7" t="s">
        <v>491</v>
      </c>
      <c r="E1" s="7" t="s">
        <v>139</v>
      </c>
      <c r="F1" s="7" t="s">
        <v>147</v>
      </c>
      <c r="G1" s="7" t="s">
        <v>93</v>
      </c>
    </row>
    <row r="2" spans="1:8" x14ac:dyDescent="0.25">
      <c r="B2">
        <v>1997</v>
      </c>
      <c r="C2">
        <f>G5</f>
        <v>90867.5</v>
      </c>
      <c r="E2" t="s">
        <v>149</v>
      </c>
      <c r="F2" t="s">
        <v>332</v>
      </c>
      <c r="G2" t="s">
        <v>329</v>
      </c>
    </row>
    <row r="3" spans="1:8" x14ac:dyDescent="0.25">
      <c r="G3" t="s">
        <v>331</v>
      </c>
    </row>
    <row r="4" spans="1:8" x14ac:dyDescent="0.25">
      <c r="G4" t="s">
        <v>330</v>
      </c>
    </row>
    <row r="5" spans="1:8" x14ac:dyDescent="0.25">
      <c r="G5">
        <f>(67504+114231)/2</f>
        <v>90867.5</v>
      </c>
      <c r="H5">
        <f>G5*'Medical Inflation'!F9</f>
        <v>178384.19234273458</v>
      </c>
    </row>
    <row r="6" spans="1:8" s="38" customFormat="1" x14ac:dyDescent="0.25"/>
    <row r="7" spans="1:8" s="38" customFormat="1" x14ac:dyDescent="0.25">
      <c r="A7" s="38" t="s">
        <v>336</v>
      </c>
      <c r="B7" s="38">
        <v>2006</v>
      </c>
      <c r="E7" s="38" t="s">
        <v>149</v>
      </c>
      <c r="F7" s="38" t="s">
        <v>141</v>
      </c>
      <c r="G7" s="38" t="s">
        <v>339</v>
      </c>
    </row>
    <row r="8" spans="1:8" s="38" customFormat="1" x14ac:dyDescent="0.25">
      <c r="G8" s="38" t="s">
        <v>338</v>
      </c>
    </row>
    <row r="9" spans="1:8" s="38" customFormat="1" x14ac:dyDescent="0.25">
      <c r="G9" s="38" t="s">
        <v>337</v>
      </c>
    </row>
    <row r="10" spans="1:8" s="40" customFormat="1" x14ac:dyDescent="0.25">
      <c r="G10" s="40" t="s">
        <v>379</v>
      </c>
    </row>
    <row r="11" spans="1:8" s="38" customFormat="1" x14ac:dyDescent="0.25"/>
    <row r="12" spans="1:8" x14ac:dyDescent="0.25">
      <c r="A12" t="s">
        <v>333</v>
      </c>
      <c r="G12" t="s">
        <v>334</v>
      </c>
    </row>
    <row r="13" spans="1:8" x14ac:dyDescent="0.25">
      <c r="G13" s="34" t="s">
        <v>335</v>
      </c>
    </row>
    <row r="14" spans="1:8" s="40" customFormat="1" x14ac:dyDescent="0.25">
      <c r="G14" s="34" t="s">
        <v>499</v>
      </c>
    </row>
    <row r="16" spans="1:8" x14ac:dyDescent="0.25">
      <c r="A16" t="s">
        <v>341</v>
      </c>
      <c r="E16" t="s">
        <v>149</v>
      </c>
      <c r="F16" t="s">
        <v>141</v>
      </c>
      <c r="G16" t="s">
        <v>340</v>
      </c>
    </row>
    <row r="17" spans="1:8" x14ac:dyDescent="0.25">
      <c r="F17" t="s">
        <v>342</v>
      </c>
      <c r="G17" t="s">
        <v>343</v>
      </c>
    </row>
    <row r="19" spans="1:8" ht="30" x14ac:dyDescent="0.25">
      <c r="A19" s="1" t="s">
        <v>392</v>
      </c>
      <c r="B19">
        <v>2009</v>
      </c>
      <c r="C19" s="35">
        <f>G24</f>
        <v>168591</v>
      </c>
      <c r="D19" s="35">
        <v>125</v>
      </c>
      <c r="E19" t="s">
        <v>154</v>
      </c>
      <c r="F19" t="s">
        <v>4</v>
      </c>
      <c r="G19" t="s">
        <v>397</v>
      </c>
    </row>
    <row r="20" spans="1:8" x14ac:dyDescent="0.25">
      <c r="G20" t="s">
        <v>395</v>
      </c>
    </row>
    <row r="21" spans="1:8" x14ac:dyDescent="0.25">
      <c r="G21" t="s">
        <v>498</v>
      </c>
    </row>
    <row r="22" spans="1:8" x14ac:dyDescent="0.25">
      <c r="G22" t="s">
        <v>393</v>
      </c>
    </row>
    <row r="23" spans="1:8" x14ac:dyDescent="0.25">
      <c r="G23" t="s">
        <v>394</v>
      </c>
    </row>
    <row r="24" spans="1:8" x14ac:dyDescent="0.25">
      <c r="G24">
        <f>112394*0.72/0.48</f>
        <v>168591</v>
      </c>
    </row>
    <row r="25" spans="1:8" x14ac:dyDescent="0.25">
      <c r="G25" t="s">
        <v>396</v>
      </c>
    </row>
    <row r="26" spans="1:8" s="40" customFormat="1" x14ac:dyDescent="0.25">
      <c r="G26" s="34" t="s">
        <v>509</v>
      </c>
    </row>
    <row r="27" spans="1:8" x14ac:dyDescent="0.25">
      <c r="G27" t="s">
        <v>513</v>
      </c>
    </row>
    <row r="28" spans="1:8" x14ac:dyDescent="0.25">
      <c r="G28" t="s">
        <v>403</v>
      </c>
      <c r="H28" s="35">
        <f>22.9/40*125</f>
        <v>71.5625</v>
      </c>
    </row>
    <row r="29" spans="1:8" x14ac:dyDescent="0.25">
      <c r="G29" t="s">
        <v>406</v>
      </c>
      <c r="H29" s="35">
        <f>G24*'Medical Inflation'!F21</f>
        <v>206901.27439559513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H26" sqref="H26"/>
    </sheetView>
  </sheetViews>
  <sheetFormatPr defaultRowHeight="15" x14ac:dyDescent="0.25"/>
  <cols>
    <col min="1" max="1" width="10" bestFit="1" customWidth="1"/>
    <col min="5" max="5" width="12.85546875" bestFit="1" customWidth="1"/>
    <col min="6" max="6" width="10.5703125" bestFit="1" customWidth="1"/>
    <col min="7" max="7" width="17.140625" customWidth="1"/>
    <col min="11" max="11" width="12" bestFit="1" customWidth="1"/>
  </cols>
  <sheetData>
    <row r="1" spans="1:7" x14ac:dyDescent="0.25">
      <c r="A1" s="7" t="s">
        <v>92</v>
      </c>
      <c r="B1" s="7" t="s">
        <v>5</v>
      </c>
      <c r="C1" s="7" t="s">
        <v>119</v>
      </c>
      <c r="D1" s="7" t="s">
        <v>491</v>
      </c>
      <c r="E1" s="7" t="s">
        <v>139</v>
      </c>
      <c r="F1" s="7" t="s">
        <v>147</v>
      </c>
      <c r="G1" s="7" t="s">
        <v>93</v>
      </c>
    </row>
    <row r="2" spans="1:7" x14ac:dyDescent="0.25">
      <c r="A2" t="s">
        <v>333</v>
      </c>
      <c r="G2" t="s">
        <v>350</v>
      </c>
    </row>
    <row r="3" spans="1:7" x14ac:dyDescent="0.25">
      <c r="G3" t="s">
        <v>351</v>
      </c>
    </row>
    <row r="4" spans="1:7" x14ac:dyDescent="0.25">
      <c r="G4" t="s">
        <v>352</v>
      </c>
    </row>
    <row r="5" spans="1:7" x14ac:dyDescent="0.25">
      <c r="G5" t="s">
        <v>353</v>
      </c>
    </row>
    <row r="6" spans="1:7" x14ac:dyDescent="0.25">
      <c r="G6" t="s">
        <v>354</v>
      </c>
    </row>
    <row r="7" spans="1:7" x14ac:dyDescent="0.25">
      <c r="G7" t="s">
        <v>355</v>
      </c>
    </row>
    <row r="8" spans="1:7" x14ac:dyDescent="0.25">
      <c r="G8" t="s">
        <v>356</v>
      </c>
    </row>
    <row r="9" spans="1:7" x14ac:dyDescent="0.25">
      <c r="G9" t="s">
        <v>357</v>
      </c>
    </row>
    <row r="10" spans="1:7" x14ac:dyDescent="0.25">
      <c r="G10" t="s">
        <v>358</v>
      </c>
    </row>
    <row r="11" spans="1:7" x14ac:dyDescent="0.25">
      <c r="G11" t="s">
        <v>359</v>
      </c>
    </row>
    <row r="12" spans="1:7" x14ac:dyDescent="0.25">
      <c r="G12" s="34" t="s">
        <v>384</v>
      </c>
    </row>
    <row r="14" spans="1:7" ht="60" x14ac:dyDescent="0.25">
      <c r="A14" s="1" t="s">
        <v>360</v>
      </c>
      <c r="B14">
        <v>2013</v>
      </c>
      <c r="C14" s="35">
        <f>26900-11654</f>
        <v>15246</v>
      </c>
      <c r="D14" s="35">
        <v>65</v>
      </c>
      <c r="E14" t="s">
        <v>149</v>
      </c>
      <c r="F14" t="s">
        <v>150</v>
      </c>
      <c r="G14" t="s">
        <v>361</v>
      </c>
    </row>
    <row r="15" spans="1:7" x14ac:dyDescent="0.25">
      <c r="G15" t="s">
        <v>362</v>
      </c>
    </row>
    <row r="16" spans="1:7" x14ac:dyDescent="0.25">
      <c r="G16" s="34" t="s">
        <v>385</v>
      </c>
    </row>
    <row r="17" spans="7:14" s="40" customFormat="1" x14ac:dyDescent="0.25">
      <c r="G17" s="34" t="s">
        <v>386</v>
      </c>
    </row>
    <row r="18" spans="7:14" x14ac:dyDescent="0.25">
      <c r="G18" t="s">
        <v>363</v>
      </c>
      <c r="N18">
        <v>12526717381</v>
      </c>
    </row>
    <row r="19" spans="7:14" x14ac:dyDescent="0.25">
      <c r="G19" t="s">
        <v>378</v>
      </c>
      <c r="N19">
        <v>2052481123</v>
      </c>
    </row>
    <row r="20" spans="7:14" x14ac:dyDescent="0.25">
      <c r="G20" t="s">
        <v>364</v>
      </c>
      <c r="N20">
        <f>(6+92+156+997)*1000</f>
        <v>1251000</v>
      </c>
    </row>
    <row r="21" spans="7:14" x14ac:dyDescent="0.25">
      <c r="G21" t="s">
        <v>365</v>
      </c>
      <c r="N21">
        <f>(N18+N19)/N20</f>
        <v>11654.035574740208</v>
      </c>
    </row>
    <row r="22" spans="7:14" x14ac:dyDescent="0.25">
      <c r="G22" t="s">
        <v>404</v>
      </c>
      <c r="N22">
        <f>N18/N20/19.17/8</f>
        <v>65.293187364558008</v>
      </c>
    </row>
    <row r="23" spans="7:14" x14ac:dyDescent="0.25">
      <c r="G23" t="s">
        <v>501</v>
      </c>
      <c r="N23" s="35">
        <f>N19/N20/19.17/8</f>
        <v>10.698176581322318</v>
      </c>
    </row>
    <row r="24" spans="7:14" x14ac:dyDescent="0.25">
      <c r="G24" s="34" t="s">
        <v>383</v>
      </c>
    </row>
    <row r="25" spans="7:14" x14ac:dyDescent="0.25">
      <c r="G25" s="34" t="s">
        <v>366</v>
      </c>
    </row>
    <row r="26" spans="7:14" x14ac:dyDescent="0.25">
      <c r="G26" t="s">
        <v>406</v>
      </c>
      <c r="H26" s="35">
        <f>(26900-N21)*'Medical Inflation'!F25</f>
        <v>16464.01814376784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H20" sqref="H20"/>
    </sheetView>
  </sheetViews>
  <sheetFormatPr defaultRowHeight="15" x14ac:dyDescent="0.25"/>
  <cols>
    <col min="1" max="1" width="26.5703125" bestFit="1" customWidth="1"/>
    <col min="2" max="2" width="9.28515625" bestFit="1" customWidth="1"/>
    <col min="3" max="3" width="11.5703125" bestFit="1" customWidth="1"/>
    <col min="4" max="6" width="11.5703125" style="19" customWidth="1"/>
    <col min="7" max="7" width="33.28515625" customWidth="1"/>
    <col min="8" max="8" width="10.85546875" bestFit="1" customWidth="1"/>
  </cols>
  <sheetData>
    <row r="1" spans="1:9" x14ac:dyDescent="0.25">
      <c r="A1" t="s">
        <v>117</v>
      </c>
      <c r="B1" t="s">
        <v>5</v>
      </c>
      <c r="C1" t="s">
        <v>119</v>
      </c>
      <c r="D1" s="7" t="s">
        <v>491</v>
      </c>
      <c r="E1" s="19" t="s">
        <v>139</v>
      </c>
      <c r="F1" s="19" t="s">
        <v>147</v>
      </c>
      <c r="G1" t="s">
        <v>93</v>
      </c>
    </row>
    <row r="2" spans="1:9" x14ac:dyDescent="0.25">
      <c r="A2" t="s">
        <v>22</v>
      </c>
      <c r="B2">
        <v>2010</v>
      </c>
      <c r="C2" s="3">
        <v>43231</v>
      </c>
      <c r="D2" s="31"/>
      <c r="E2" s="31" t="s">
        <v>149</v>
      </c>
      <c r="F2" s="31" t="s">
        <v>150</v>
      </c>
      <c r="G2" t="s">
        <v>21</v>
      </c>
    </row>
    <row r="3" spans="1:9" x14ac:dyDescent="0.25">
      <c r="G3" t="s">
        <v>118</v>
      </c>
    </row>
    <row r="4" spans="1:9" x14ac:dyDescent="0.25">
      <c r="G4" t="s">
        <v>120</v>
      </c>
    </row>
    <row r="5" spans="1:9" x14ac:dyDescent="0.25">
      <c r="B5" s="17"/>
    </row>
    <row r="6" spans="1:9" x14ac:dyDescent="0.25">
      <c r="A6" t="s">
        <v>143</v>
      </c>
      <c r="B6" s="19">
        <v>2013</v>
      </c>
      <c r="C6" s="20">
        <f>H18</f>
        <v>61089.888888888891</v>
      </c>
      <c r="D6" s="31"/>
      <c r="E6" s="31" t="s">
        <v>149</v>
      </c>
      <c r="F6" s="31" t="s">
        <v>150</v>
      </c>
      <c r="G6" s="6" t="s">
        <v>130</v>
      </c>
      <c r="I6" s="18"/>
    </row>
    <row r="7" spans="1:9" x14ac:dyDescent="0.25">
      <c r="B7" s="19"/>
      <c r="C7" s="3"/>
      <c r="D7" s="31"/>
      <c r="E7" s="31"/>
      <c r="F7" s="31"/>
      <c r="G7" t="s">
        <v>144</v>
      </c>
      <c r="I7" s="18"/>
    </row>
    <row r="8" spans="1:9" x14ac:dyDescent="0.25">
      <c r="B8" s="19"/>
      <c r="C8" s="3"/>
      <c r="D8" s="31"/>
      <c r="E8" s="31"/>
      <c r="F8" s="31"/>
      <c r="G8" s="6" t="s">
        <v>142</v>
      </c>
      <c r="I8" s="18"/>
    </row>
    <row r="9" spans="1:9" x14ac:dyDescent="0.25">
      <c r="B9" s="17"/>
      <c r="G9" t="s">
        <v>121</v>
      </c>
      <c r="H9" s="2">
        <v>61529</v>
      </c>
      <c r="I9" s="18"/>
    </row>
    <row r="10" spans="1:9" x14ac:dyDescent="0.25">
      <c r="B10" s="17"/>
      <c r="G10" t="s">
        <v>122</v>
      </c>
      <c r="H10" s="2">
        <v>62394</v>
      </c>
      <c r="I10" s="18"/>
    </row>
    <row r="11" spans="1:9" x14ac:dyDescent="0.25">
      <c r="B11" s="17"/>
      <c r="G11" t="s">
        <v>123</v>
      </c>
      <c r="H11" s="2">
        <v>59158</v>
      </c>
      <c r="I11" s="18"/>
    </row>
    <row r="12" spans="1:9" x14ac:dyDescent="0.25">
      <c r="B12" s="17"/>
      <c r="G12" t="s">
        <v>124</v>
      </c>
      <c r="H12" s="2">
        <v>66394</v>
      </c>
      <c r="I12" s="18"/>
    </row>
    <row r="13" spans="1:9" x14ac:dyDescent="0.25">
      <c r="B13" s="17"/>
      <c r="G13" t="s">
        <v>125</v>
      </c>
      <c r="H13" s="2">
        <v>64233</v>
      </c>
      <c r="I13" s="18"/>
    </row>
    <row r="14" spans="1:9" x14ac:dyDescent="0.25">
      <c r="B14" s="17"/>
      <c r="G14" t="s">
        <v>126</v>
      </c>
      <c r="H14" s="2">
        <v>51427</v>
      </c>
      <c r="I14" s="18"/>
    </row>
    <row r="15" spans="1:9" x14ac:dyDescent="0.25">
      <c r="B15" s="17"/>
      <c r="G15" t="s">
        <v>127</v>
      </c>
      <c r="H15" s="2">
        <v>63806</v>
      </c>
      <c r="I15" s="18"/>
    </row>
    <row r="16" spans="1:9" x14ac:dyDescent="0.25">
      <c r="G16" t="s">
        <v>128</v>
      </c>
      <c r="H16" s="2">
        <v>57553</v>
      </c>
      <c r="I16" s="18"/>
    </row>
    <row r="17" spans="1:8" x14ac:dyDescent="0.25">
      <c r="G17" t="s">
        <v>129</v>
      </c>
      <c r="H17" s="2">
        <v>63315</v>
      </c>
    </row>
    <row r="18" spans="1:8" x14ac:dyDescent="0.25">
      <c r="G18" t="s">
        <v>131</v>
      </c>
      <c r="H18" s="2">
        <f>AVERAGE(H9:H17)</f>
        <v>61089.888888888891</v>
      </c>
    </row>
    <row r="19" spans="1:8" x14ac:dyDescent="0.25">
      <c r="G19" s="34" t="s">
        <v>324</v>
      </c>
      <c r="H19" s="2"/>
    </row>
    <row r="20" spans="1:8" x14ac:dyDescent="0.25">
      <c r="G20" t="s">
        <v>406</v>
      </c>
      <c r="H20" s="43">
        <f>H18*'Medical Inflation'!F25</f>
        <v>65970.574967433669</v>
      </c>
    </row>
    <row r="21" spans="1:8" x14ac:dyDescent="0.25">
      <c r="H21" s="2"/>
    </row>
    <row r="23" spans="1:8" x14ac:dyDescent="0.25">
      <c r="A23" t="s">
        <v>132</v>
      </c>
      <c r="B23" t="s">
        <v>135</v>
      </c>
      <c r="C23" s="3">
        <v>42870</v>
      </c>
      <c r="D23" s="19" t="s">
        <v>137</v>
      </c>
      <c r="E23" s="19" t="s">
        <v>3</v>
      </c>
      <c r="F23" s="19" t="s">
        <v>150</v>
      </c>
      <c r="G23" t="s">
        <v>133</v>
      </c>
    </row>
    <row r="24" spans="1:8" x14ac:dyDescent="0.25">
      <c r="G24" t="s">
        <v>134</v>
      </c>
    </row>
    <row r="25" spans="1:8" x14ac:dyDescent="0.25">
      <c r="G25" t="s">
        <v>136</v>
      </c>
      <c r="H25">
        <f>(57500-42870)/160</f>
        <v>91.4375</v>
      </c>
    </row>
    <row r="26" spans="1:8" x14ac:dyDescent="0.25">
      <c r="G26" t="s">
        <v>151</v>
      </c>
    </row>
    <row r="28" spans="1:8" x14ac:dyDescent="0.25">
      <c r="A28" t="s">
        <v>213</v>
      </c>
      <c r="D28" s="39">
        <v>0</v>
      </c>
      <c r="G28" s="34" t="s">
        <v>323</v>
      </c>
    </row>
  </sheetData>
  <hyperlinks>
    <hyperlink ref="G6" r:id="rId1"/>
    <hyperlink ref="G8" r:id="rId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6" sqref="E6"/>
    </sheetView>
  </sheetViews>
  <sheetFormatPr defaultRowHeight="15" x14ac:dyDescent="0.25"/>
  <cols>
    <col min="2" max="2" width="5" bestFit="1" customWidth="1"/>
    <col min="3" max="3" width="19.140625" bestFit="1" customWidth="1"/>
  </cols>
  <sheetData>
    <row r="1" spans="1:5" x14ac:dyDescent="0.25">
      <c r="A1" t="s">
        <v>92</v>
      </c>
      <c r="B1" t="s">
        <v>5</v>
      </c>
      <c r="C1" t="s">
        <v>73</v>
      </c>
      <c r="D1" t="s">
        <v>119</v>
      </c>
      <c r="E1" t="s">
        <v>93</v>
      </c>
    </row>
    <row r="2" spans="1:5" x14ac:dyDescent="0.25">
      <c r="A2" s="6" t="s">
        <v>250</v>
      </c>
      <c r="B2">
        <v>2013</v>
      </c>
      <c r="C2" t="s">
        <v>249</v>
      </c>
      <c r="D2">
        <v>1087</v>
      </c>
    </row>
    <row r="3" spans="1:5" x14ac:dyDescent="0.25">
      <c r="B3">
        <v>2013</v>
      </c>
      <c r="C3" t="s">
        <v>248</v>
      </c>
      <c r="D3">
        <v>2009</v>
      </c>
      <c r="E3" t="s">
        <v>247</v>
      </c>
    </row>
    <row r="5" spans="1:5" x14ac:dyDescent="0.25">
      <c r="E5" t="s">
        <v>312</v>
      </c>
    </row>
  </sheetData>
  <hyperlinks>
    <hyperlink ref="A2"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4"/>
  <sheetViews>
    <sheetView workbookViewId="0">
      <selection activeCell="F18" sqref="F18"/>
    </sheetView>
  </sheetViews>
  <sheetFormatPr defaultRowHeight="15" x14ac:dyDescent="0.25"/>
  <cols>
    <col min="1" max="1" width="9.5703125" bestFit="1" customWidth="1"/>
  </cols>
  <sheetData>
    <row r="2" spans="2:2" x14ac:dyDescent="0.25">
      <c r="B2" t="s">
        <v>223</v>
      </c>
    </row>
    <row r="4" spans="2:2" x14ac:dyDescent="0.25">
      <c r="B4" t="s">
        <v>227</v>
      </c>
    </row>
    <row r="5" spans="2:2" x14ac:dyDescent="0.25">
      <c r="B5" t="s">
        <v>228</v>
      </c>
    </row>
    <row r="6" spans="2:2" x14ac:dyDescent="0.25">
      <c r="B6" t="s">
        <v>229</v>
      </c>
    </row>
    <row r="8" spans="2:2" x14ac:dyDescent="0.25">
      <c r="B8" t="s">
        <v>310</v>
      </c>
    </row>
    <row r="9" spans="2:2" x14ac:dyDescent="0.25">
      <c r="B9" t="s">
        <v>417</v>
      </c>
    </row>
    <row r="11" spans="2:2" x14ac:dyDescent="0.25">
      <c r="B11" t="s">
        <v>413</v>
      </c>
    </row>
    <row r="12" spans="2:2" x14ac:dyDescent="0.25">
      <c r="B12" t="s">
        <v>418</v>
      </c>
    </row>
    <row r="13" spans="2:2" x14ac:dyDescent="0.25">
      <c r="B13" t="s">
        <v>419</v>
      </c>
    </row>
    <row r="14" spans="2:2" x14ac:dyDescent="0.25">
      <c r="B14" t="s">
        <v>420</v>
      </c>
    </row>
  </sheetData>
  <pageMargins left="0.7" right="0.7" top="0.75" bottom="0.75" header="0.3" footer="0.3"/>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A23" sqref="A23"/>
    </sheetView>
  </sheetViews>
  <sheetFormatPr defaultRowHeight="15" x14ac:dyDescent="0.25"/>
  <sheetData>
    <row r="1" spans="1:2" x14ac:dyDescent="0.25">
      <c r="A1" t="s">
        <v>224</v>
      </c>
    </row>
    <row r="3" spans="1:2" x14ac:dyDescent="0.25">
      <c r="A3" t="s">
        <v>225</v>
      </c>
    </row>
    <row r="4" spans="1:2" s="40" customFormat="1" x14ac:dyDescent="0.25">
      <c r="A4" s="40" t="s">
        <v>497</v>
      </c>
    </row>
    <row r="5" spans="1:2" x14ac:dyDescent="0.25">
      <c r="A5" t="s">
        <v>226</v>
      </c>
    </row>
    <row r="6" spans="1:2" x14ac:dyDescent="0.25">
      <c r="A6" s="34" t="s">
        <v>449</v>
      </c>
    </row>
    <row r="7" spans="1:2" x14ac:dyDescent="0.25">
      <c r="A7" s="34" t="s">
        <v>321</v>
      </c>
      <c r="B7" s="34"/>
    </row>
    <row r="8" spans="1:2" s="38" customFormat="1" x14ac:dyDescent="0.25">
      <c r="A8" s="34" t="s">
        <v>445</v>
      </c>
      <c r="B8" s="34"/>
    </row>
    <row r="9" spans="1:2" s="40" customFormat="1" x14ac:dyDescent="0.25">
      <c r="A9" s="34" t="s">
        <v>447</v>
      </c>
      <c r="B9" s="34"/>
    </row>
    <row r="10" spans="1:2" s="40" customFormat="1" x14ac:dyDescent="0.25">
      <c r="A10" s="34" t="s">
        <v>446</v>
      </c>
      <c r="B10" s="34"/>
    </row>
    <row r="11" spans="1:2" s="40" customFormat="1" x14ac:dyDescent="0.25">
      <c r="A11" s="34" t="s">
        <v>448</v>
      </c>
      <c r="B11" s="34"/>
    </row>
    <row r="12" spans="1:2" s="40" customFormat="1" x14ac:dyDescent="0.25">
      <c r="A12" t="s">
        <v>237</v>
      </c>
      <c r="B12" s="34"/>
    </row>
    <row r="13" spans="1:2" s="40" customFormat="1" x14ac:dyDescent="0.25">
      <c r="A13" s="40" t="s">
        <v>444</v>
      </c>
      <c r="B13" s="34"/>
    </row>
    <row r="14" spans="1:2" x14ac:dyDescent="0.25">
      <c r="A14" t="s">
        <v>443</v>
      </c>
    </row>
    <row r="15" spans="1:2" x14ac:dyDescent="0.25">
      <c r="A15" t="s">
        <v>236</v>
      </c>
    </row>
    <row r="16" spans="1:2" x14ac:dyDescent="0.25">
      <c r="A16" t="s">
        <v>325</v>
      </c>
    </row>
    <row r="17" spans="1:1" s="38" customFormat="1" x14ac:dyDescent="0.25"/>
    <row r="18" spans="1:1" x14ac:dyDescent="0.25">
      <c r="A18" t="s">
        <v>315</v>
      </c>
    </row>
    <row r="20" spans="1:1" x14ac:dyDescent="0.25">
      <c r="A20" t="s">
        <v>316</v>
      </c>
    </row>
    <row r="21" spans="1:1" x14ac:dyDescent="0.25">
      <c r="A21" t="s">
        <v>317</v>
      </c>
    </row>
    <row r="22" spans="1:1" s="40" customFormat="1" x14ac:dyDescent="0.25">
      <c r="A22" s="34" t="s">
        <v>510</v>
      </c>
    </row>
    <row r="24" spans="1:1" x14ac:dyDescent="0.25">
      <c r="A24" t="s">
        <v>318</v>
      </c>
    </row>
    <row r="25" spans="1:1" x14ac:dyDescent="0.25">
      <c r="A25" t="s">
        <v>427</v>
      </c>
    </row>
    <row r="26" spans="1:1" x14ac:dyDescent="0.25">
      <c r="A26" s="34" t="s">
        <v>428</v>
      </c>
    </row>
    <row r="27" spans="1:1" s="40" customFormat="1" x14ac:dyDescent="0.25">
      <c r="A27" s="34"/>
    </row>
    <row r="29" spans="1:1" x14ac:dyDescent="0.25">
      <c r="A29" s="34" t="s">
        <v>377</v>
      </c>
    </row>
    <row r="31" spans="1:1" x14ac:dyDescent="0.25">
      <c r="A31" s="34" t="s">
        <v>367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C30" sqref="C30"/>
    </sheetView>
  </sheetViews>
  <sheetFormatPr defaultRowHeight="15" x14ac:dyDescent="0.25"/>
  <cols>
    <col min="2" max="3" width="9.140625" style="40"/>
    <col min="6" max="6" width="21.7109375" bestFit="1" customWidth="1"/>
  </cols>
  <sheetData>
    <row r="1" spans="1:7" x14ac:dyDescent="0.25">
      <c r="A1" t="s">
        <v>5</v>
      </c>
      <c r="D1" t="s">
        <v>94</v>
      </c>
      <c r="F1" t="s">
        <v>482</v>
      </c>
      <c r="G1" t="s">
        <v>483</v>
      </c>
    </row>
    <row r="2" spans="1:7" x14ac:dyDescent="0.25">
      <c r="A2">
        <v>1990</v>
      </c>
      <c r="B2" s="40">
        <v>8.6999999999999993</v>
      </c>
      <c r="C2" s="40">
        <v>9.4</v>
      </c>
      <c r="D2">
        <f>(B2+C2)/2</f>
        <v>9.0500000000000007</v>
      </c>
      <c r="E2">
        <f t="shared" ref="E2:E11" si="0">1+D2/100</f>
        <v>1.0905</v>
      </c>
      <c r="F2">
        <f>PRODUCT(E3:$E$28)*E2^0.5</f>
        <v>2.9141532771866503</v>
      </c>
      <c r="G2">
        <f>PRODUCT(E2:$E$28)</f>
        <v>3.0431630759233994</v>
      </c>
    </row>
    <row r="3" spans="1:7" x14ac:dyDescent="0.25">
      <c r="A3">
        <v>1991</v>
      </c>
      <c r="B3" s="40">
        <v>9.1999999999999993</v>
      </c>
      <c r="C3" s="40">
        <v>8.1999999999999993</v>
      </c>
      <c r="D3" s="40">
        <f t="shared" ref="D3:D28" si="1">(B3+C3)/2</f>
        <v>8.6999999999999993</v>
      </c>
      <c r="E3">
        <f t="shared" si="0"/>
        <v>1.087</v>
      </c>
      <c r="F3" s="40">
        <f>PRODUCT(E4:$E$28)*E3^0.5</f>
        <v>2.6766080749936618</v>
      </c>
      <c r="G3" s="40">
        <f>PRODUCT(E3:$E$28)</f>
        <v>2.7906126326670311</v>
      </c>
    </row>
    <row r="4" spans="1:7" x14ac:dyDescent="0.25">
      <c r="A4">
        <v>1992</v>
      </c>
      <c r="B4" s="40">
        <v>7.8</v>
      </c>
      <c r="C4" s="40">
        <v>7</v>
      </c>
      <c r="D4" s="40">
        <f t="shared" si="1"/>
        <v>7.4</v>
      </c>
      <c r="E4">
        <f t="shared" si="0"/>
        <v>1.0740000000000001</v>
      </c>
      <c r="F4" s="40">
        <f>PRODUCT(E5:$E$28)*E4^0.5</f>
        <v>2.47723878598672</v>
      </c>
      <c r="G4" s="40">
        <f>PRODUCT(E4:$E$28)</f>
        <v>2.5672609316164055</v>
      </c>
    </row>
    <row r="5" spans="1:7" x14ac:dyDescent="0.25">
      <c r="A5">
        <v>1993</v>
      </c>
      <c r="B5" s="40">
        <v>6.2</v>
      </c>
      <c r="C5" s="40">
        <v>5.7</v>
      </c>
      <c r="D5" s="40">
        <f t="shared" si="1"/>
        <v>5.95</v>
      </c>
      <c r="E5">
        <f t="shared" si="0"/>
        <v>1.0595000000000001</v>
      </c>
      <c r="F5" s="40">
        <f>PRODUCT(E6:$E$28)*E5^0.5</f>
        <v>2.3222835717464547</v>
      </c>
      <c r="G5" s="40">
        <f>PRODUCT(E5:$E$28)</f>
        <v>2.3903733069054049</v>
      </c>
    </row>
    <row r="6" spans="1:7" x14ac:dyDescent="0.25">
      <c r="A6">
        <v>1994</v>
      </c>
      <c r="B6" s="40">
        <v>4.8</v>
      </c>
      <c r="C6" s="40">
        <v>4.7</v>
      </c>
      <c r="D6" s="40">
        <f t="shared" si="1"/>
        <v>4.75</v>
      </c>
      <c r="E6">
        <f t="shared" si="0"/>
        <v>1.0475000000000001</v>
      </c>
      <c r="F6" s="40">
        <f>PRODUCT(E7:$E$28)*E6^0.5</f>
        <v>2.2043865552816593</v>
      </c>
      <c r="G6" s="40">
        <f>PRODUCT(E6:$E$28)</f>
        <v>2.2561333713123206</v>
      </c>
    </row>
    <row r="7" spans="1:7" x14ac:dyDescent="0.25">
      <c r="A7">
        <v>1995</v>
      </c>
      <c r="B7" s="40">
        <v>4.7</v>
      </c>
      <c r="C7" s="40">
        <v>4.3</v>
      </c>
      <c r="D7" s="40">
        <f t="shared" si="1"/>
        <v>4.5</v>
      </c>
      <c r="E7">
        <f t="shared" si="0"/>
        <v>1.0449999999999999</v>
      </c>
      <c r="F7" s="40">
        <f>PRODUCT(E8:$E$28)*E7^0.5</f>
        <v>2.1069420583668483</v>
      </c>
      <c r="G7" s="40">
        <f>PRODUCT(E7:$E$28)</f>
        <v>2.153826607458063</v>
      </c>
    </row>
    <row r="8" spans="1:7" x14ac:dyDescent="0.25">
      <c r="A8">
        <v>1996</v>
      </c>
      <c r="B8" s="40">
        <v>3.8</v>
      </c>
      <c r="C8" s="40">
        <v>3.3</v>
      </c>
      <c r="D8" s="40">
        <f t="shared" si="1"/>
        <v>3.55</v>
      </c>
      <c r="E8">
        <f t="shared" si="0"/>
        <v>1.0355000000000001</v>
      </c>
      <c r="F8" s="40">
        <f>PRODUCT(E9:$E$28)*E8^0.5</f>
        <v>2.0254400613988359</v>
      </c>
      <c r="G8" s="40">
        <f>PRODUCT(E8:$E$28)</f>
        <v>2.0610780932613051</v>
      </c>
    </row>
    <row r="9" spans="1:7" x14ac:dyDescent="0.25">
      <c r="A9">
        <v>1997</v>
      </c>
      <c r="B9" s="40">
        <v>3</v>
      </c>
      <c r="C9" s="40">
        <v>2.6</v>
      </c>
      <c r="D9" s="40">
        <f t="shared" si="1"/>
        <v>2.8</v>
      </c>
      <c r="E9">
        <f t="shared" si="0"/>
        <v>1.028</v>
      </c>
      <c r="F9" s="40">
        <f>PRODUCT(E10:$E$28)*E9^0.5</f>
        <v>1.9631242451122193</v>
      </c>
      <c r="G9" s="40">
        <f>PRODUCT(E9:$E$28)</f>
        <v>1.9904182455444757</v>
      </c>
    </row>
    <row r="10" spans="1:7" x14ac:dyDescent="0.25">
      <c r="A10">
        <v>1998</v>
      </c>
      <c r="B10" s="40">
        <v>2.9</v>
      </c>
      <c r="C10" s="40">
        <v>3.5</v>
      </c>
      <c r="D10" s="40">
        <f t="shared" si="1"/>
        <v>3.2</v>
      </c>
      <c r="E10">
        <f t="shared" si="0"/>
        <v>1.032</v>
      </c>
      <c r="F10" s="40">
        <f>PRODUCT(E11:$E$28)*E10^0.5</f>
        <v>1.9059494621247086</v>
      </c>
      <c r="G10" s="40">
        <f>PRODUCT(E10:$E$28)</f>
        <v>1.9362045190121357</v>
      </c>
    </row>
    <row r="11" spans="1:7" x14ac:dyDescent="0.25">
      <c r="A11">
        <v>1999</v>
      </c>
      <c r="B11" s="40">
        <v>3.5</v>
      </c>
      <c r="C11" s="40">
        <v>3.5</v>
      </c>
      <c r="D11" s="40">
        <f t="shared" si="1"/>
        <v>3.5</v>
      </c>
      <c r="E11">
        <f t="shared" si="0"/>
        <v>1.0349999999999999</v>
      </c>
      <c r="F11" s="40">
        <f>PRODUCT(E12:$E$28)*E11^0.5</f>
        <v>1.8441717170484564</v>
      </c>
      <c r="G11" s="40">
        <f>PRODUCT(E11:$E$28)</f>
        <v>1.876167169585403</v>
      </c>
    </row>
    <row r="12" spans="1:7" x14ac:dyDescent="0.25">
      <c r="A12">
        <v>2000</v>
      </c>
      <c r="B12" s="40">
        <v>3.9</v>
      </c>
      <c r="C12" s="40">
        <v>4.2</v>
      </c>
      <c r="D12" s="40">
        <f t="shared" si="1"/>
        <v>4.05</v>
      </c>
      <c r="E12">
        <f>1+D12/100</f>
        <v>1.0405</v>
      </c>
      <c r="F12" s="40">
        <f>PRODUCT(E13:$E$28)*E12^0.5</f>
        <v>1.7770929339955717</v>
      </c>
      <c r="G12" s="40">
        <f>PRODUCT(E12:$E$28)</f>
        <v>1.8127219029810657</v>
      </c>
    </row>
    <row r="13" spans="1:7" x14ac:dyDescent="0.25">
      <c r="A13">
        <v>2001</v>
      </c>
      <c r="B13" s="40">
        <v>4.5999999999999996</v>
      </c>
      <c r="C13" s="40">
        <v>4.5999999999999996</v>
      </c>
      <c r="D13" s="40">
        <f t="shared" si="1"/>
        <v>4.5999999999999996</v>
      </c>
      <c r="E13">
        <f t="shared" ref="E13:E28" si="2">1+D13/100</f>
        <v>1.046</v>
      </c>
      <c r="F13" s="40">
        <f>PRODUCT(E14:$E$28)*E13^0.5</f>
        <v>1.7034259363123765</v>
      </c>
      <c r="G13" s="40">
        <f>PRODUCT(E13:$E$28)</f>
        <v>1.7421642508227448</v>
      </c>
    </row>
    <row r="14" spans="1:7" x14ac:dyDescent="0.25">
      <c r="A14">
        <v>2002</v>
      </c>
      <c r="B14" s="40">
        <v>4.5999999999999996</v>
      </c>
      <c r="C14" s="40">
        <v>4.9000000000000004</v>
      </c>
      <c r="D14" s="40">
        <f t="shared" si="1"/>
        <v>4.75</v>
      </c>
      <c r="E14">
        <f t="shared" si="2"/>
        <v>1.0475000000000001</v>
      </c>
      <c r="F14" s="40">
        <f>PRODUCT(E15:$E$28)*E14^0.5</f>
        <v>1.6273478610581082</v>
      </c>
      <c r="G14" s="40">
        <f>PRODUCT(E14:$E$28)</f>
        <v>1.6655489969624708</v>
      </c>
    </row>
    <row r="15" spans="1:7" x14ac:dyDescent="0.25">
      <c r="A15">
        <v>2003</v>
      </c>
      <c r="B15" s="40">
        <v>4.3</v>
      </c>
      <c r="C15" s="40">
        <v>3.8</v>
      </c>
      <c r="D15" s="40">
        <f t="shared" si="1"/>
        <v>4.05</v>
      </c>
      <c r="E15">
        <f t="shared" si="2"/>
        <v>1.0405</v>
      </c>
      <c r="F15" s="40">
        <f>PRODUCT(E16:$E$28)*E15^0.5</f>
        <v>1.5587710787095286</v>
      </c>
      <c r="G15" s="40">
        <f>PRODUCT(E15:$E$28)</f>
        <v>1.590022908794722</v>
      </c>
    </row>
    <row r="16" spans="1:7" x14ac:dyDescent="0.25">
      <c r="A16">
        <v>2004</v>
      </c>
      <c r="B16" s="40">
        <v>4.4000000000000004</v>
      </c>
      <c r="C16" s="40">
        <v>4.4000000000000004</v>
      </c>
      <c r="D16" s="40">
        <f t="shared" si="1"/>
        <v>4.4000000000000004</v>
      </c>
      <c r="E16">
        <f t="shared" si="2"/>
        <v>1.044</v>
      </c>
      <c r="F16" s="40">
        <f>PRODUCT(E17:$E$28)*E16^0.5</f>
        <v>1.4955848174528972</v>
      </c>
      <c r="G16" s="40">
        <f>PRODUCT(E16:$E$28)</f>
        <v>1.5281335019651341</v>
      </c>
    </row>
    <row r="17" spans="1:7" x14ac:dyDescent="0.25">
      <c r="A17">
        <v>2005</v>
      </c>
      <c r="B17" s="40">
        <v>4.3</v>
      </c>
      <c r="C17" s="40">
        <v>4.2</v>
      </c>
      <c r="D17" s="40">
        <f t="shared" si="1"/>
        <v>4.25</v>
      </c>
      <c r="E17">
        <f t="shared" si="2"/>
        <v>1.0425</v>
      </c>
      <c r="F17" s="40">
        <f>PRODUCT(E18:$E$28)*E17^0.5</f>
        <v>1.4335827499955331</v>
      </c>
      <c r="G17" s="40">
        <f>PRODUCT(E17:$E$28)</f>
        <v>1.46372940801258</v>
      </c>
    </row>
    <row r="18" spans="1:7" x14ac:dyDescent="0.25">
      <c r="A18">
        <v>2006</v>
      </c>
      <c r="B18" s="40">
        <v>4.0999999999999996</v>
      </c>
      <c r="C18" s="40">
        <v>4</v>
      </c>
      <c r="D18" s="40">
        <f t="shared" si="1"/>
        <v>4.05</v>
      </c>
      <c r="E18">
        <f t="shared" si="2"/>
        <v>1.0405</v>
      </c>
      <c r="F18" s="40">
        <f>PRODUCT(E19:$E$28)*E18^0.5</f>
        <v>1.376460308019551</v>
      </c>
      <c r="G18" s="40">
        <f>PRODUCT(E18:$E$28)</f>
        <v>1.4040569861031942</v>
      </c>
    </row>
    <row r="19" spans="1:7" x14ac:dyDescent="0.25">
      <c r="A19">
        <v>2007</v>
      </c>
      <c r="B19" s="40">
        <v>4.0999999999999996</v>
      </c>
      <c r="C19" s="40">
        <v>4.7</v>
      </c>
      <c r="D19" s="40">
        <f t="shared" si="1"/>
        <v>4.4000000000000004</v>
      </c>
      <c r="E19">
        <f t="shared" si="2"/>
        <v>1.044</v>
      </c>
      <c r="F19" s="40">
        <f>PRODUCT(E20:$E$28)*E19^0.5</f>
        <v>1.3206641864338791</v>
      </c>
      <c r="G19" s="40">
        <f>PRODUCT(E19:$E$28)</f>
        <v>1.3494060414254627</v>
      </c>
    </row>
    <row r="20" spans="1:7" x14ac:dyDescent="0.25">
      <c r="A20">
        <v>2008</v>
      </c>
      <c r="B20" s="40">
        <v>4.4000000000000004</v>
      </c>
      <c r="C20" s="40">
        <v>3</v>
      </c>
      <c r="D20" s="40">
        <f t="shared" si="1"/>
        <v>3.7</v>
      </c>
      <c r="E20">
        <f t="shared" si="2"/>
        <v>1.0369999999999999</v>
      </c>
      <c r="F20" s="40">
        <f>PRODUCT(E21:$E$28)*E20^0.5</f>
        <v>1.2692663701196769</v>
      </c>
      <c r="G20" s="40">
        <f>PRODUCT(E20:$E$28)</f>
        <v>1.2925345224381828</v>
      </c>
    </row>
    <row r="21" spans="1:7" x14ac:dyDescent="0.25">
      <c r="A21">
        <v>2009</v>
      </c>
      <c r="B21" s="40">
        <v>2.9</v>
      </c>
      <c r="C21" s="40">
        <v>3.4</v>
      </c>
      <c r="D21" s="40">
        <f t="shared" si="1"/>
        <v>3.15</v>
      </c>
      <c r="E21">
        <f t="shared" si="2"/>
        <v>1.0315000000000001</v>
      </c>
      <c r="F21" s="40">
        <f>PRODUCT(E22:$E$28)*E21^0.5</f>
        <v>1.2272379569229386</v>
      </c>
      <c r="G21" s="40">
        <f>PRODUCT(E21:$E$28)</f>
        <v>1.2464170901043232</v>
      </c>
    </row>
    <row r="22" spans="1:7" x14ac:dyDescent="0.25">
      <c r="A22">
        <v>2010</v>
      </c>
      <c r="B22" s="40">
        <v>3.6</v>
      </c>
      <c r="C22" s="40">
        <v>3.3</v>
      </c>
      <c r="D22" s="40">
        <f t="shared" si="1"/>
        <v>3.45</v>
      </c>
      <c r="E22">
        <f t="shared" si="2"/>
        <v>1.0345</v>
      </c>
      <c r="F22" s="40">
        <f>PRODUCT(E23:$E$28)*E22^0.5</f>
        <v>1.1880341246517305</v>
      </c>
      <c r="G22" s="40">
        <f>PRODUCT(E22:$E$28)</f>
        <v>1.2083539409639583</v>
      </c>
    </row>
    <row r="23" spans="1:7" x14ac:dyDescent="0.25">
      <c r="A23">
        <v>2011</v>
      </c>
      <c r="B23" s="40">
        <v>2.9</v>
      </c>
      <c r="C23" s="40">
        <v>3.2</v>
      </c>
      <c r="D23" s="40">
        <f t="shared" si="1"/>
        <v>3.05</v>
      </c>
      <c r="E23">
        <f t="shared" si="2"/>
        <v>1.0305</v>
      </c>
      <c r="F23" s="40">
        <f>PRODUCT(E24:$E$28)*E23^0.5</f>
        <v>1.1506405360750356</v>
      </c>
      <c r="G23" s="40">
        <f>PRODUCT(E23:$E$28)</f>
        <v>1.1680560086650156</v>
      </c>
    </row>
    <row r="24" spans="1:7" x14ac:dyDescent="0.25">
      <c r="A24">
        <v>2012</v>
      </c>
      <c r="B24" s="40">
        <v>3.6</v>
      </c>
      <c r="C24" s="40">
        <v>3.8</v>
      </c>
      <c r="D24" s="40">
        <f t="shared" si="1"/>
        <v>3.7</v>
      </c>
      <c r="E24">
        <f t="shared" si="2"/>
        <v>1.0369999999999999</v>
      </c>
      <c r="F24" s="40">
        <f>PRODUCT(E25:$E$28)*E24^0.5</f>
        <v>1.1130797800447074</v>
      </c>
      <c r="G24" s="40">
        <f>PRODUCT(E24:$E$28)</f>
        <v>1.1334847245657598</v>
      </c>
    </row>
    <row r="25" spans="1:7" x14ac:dyDescent="0.25">
      <c r="A25">
        <v>2013</v>
      </c>
      <c r="B25" s="40">
        <v>2.7</v>
      </c>
      <c r="C25" s="40">
        <v>2.2000000000000002</v>
      </c>
      <c r="D25" s="40">
        <f t="shared" si="1"/>
        <v>2.4500000000000002</v>
      </c>
      <c r="E25">
        <f t="shared" si="2"/>
        <v>1.0245</v>
      </c>
      <c r="F25" s="40">
        <f>PRODUCT(E26:$E$28)*E25^0.5</f>
        <v>1.079893517033921</v>
      </c>
      <c r="G25" s="40">
        <f>PRODUCT(E25:$E$28)</f>
        <v>1.0930421644799999</v>
      </c>
    </row>
    <row r="26" spans="1:7" x14ac:dyDescent="0.25">
      <c r="A26">
        <v>2014</v>
      </c>
      <c r="B26" s="40">
        <v>2.4</v>
      </c>
      <c r="C26" s="40">
        <v>2.4</v>
      </c>
      <c r="D26" s="40">
        <f t="shared" si="1"/>
        <v>2.4</v>
      </c>
      <c r="E26">
        <f t="shared" si="2"/>
        <v>1.024</v>
      </c>
      <c r="F26" s="40">
        <f>PRODUCT(E27:$E$28)*E26^0.5</f>
        <v>1.0543261402992907</v>
      </c>
      <c r="G26" s="40">
        <f>PRODUCT(E26:$E$28)</f>
        <v>1.0669030399999999</v>
      </c>
    </row>
    <row r="27" spans="1:7" x14ac:dyDescent="0.25">
      <c r="A27">
        <v>2015</v>
      </c>
      <c r="B27" s="40">
        <v>2.6</v>
      </c>
      <c r="C27" s="40">
        <v>2.7</v>
      </c>
      <c r="D27" s="40">
        <f t="shared" si="1"/>
        <v>2.6500000000000004</v>
      </c>
      <c r="E27">
        <f t="shared" si="2"/>
        <v>1.0265</v>
      </c>
      <c r="F27" s="40">
        <f>PRODUCT(E28:$E$28)*E27^0.5</f>
        <v>1.0283608133821511</v>
      </c>
      <c r="G27" s="40">
        <f>PRODUCT(E27:$E$28)</f>
        <v>1.0418974999999999</v>
      </c>
    </row>
    <row r="28" spans="1:7" x14ac:dyDescent="0.25">
      <c r="A28">
        <v>2016</v>
      </c>
      <c r="B28" s="40">
        <v>3</v>
      </c>
      <c r="D28" s="40">
        <f t="shared" si="1"/>
        <v>1.5</v>
      </c>
      <c r="E28" s="40">
        <f t="shared" si="2"/>
        <v>1.0149999999999999</v>
      </c>
      <c r="G28" s="40"/>
    </row>
    <row r="29" spans="1:7" x14ac:dyDescent="0.25">
      <c r="G29" s="40"/>
    </row>
    <row r="30" spans="1:7" x14ac:dyDescent="0.25">
      <c r="A30" t="s">
        <v>93</v>
      </c>
      <c r="G30" s="40"/>
    </row>
    <row r="31" spans="1:7" x14ac:dyDescent="0.25">
      <c r="A31" t="s">
        <v>95</v>
      </c>
      <c r="G31" s="40"/>
    </row>
    <row r="32" spans="1:7" x14ac:dyDescent="0.25">
      <c r="A32" t="s">
        <v>484</v>
      </c>
    </row>
    <row r="33" spans="1:1" x14ac:dyDescent="0.25">
      <c r="A33" t="s">
        <v>485</v>
      </c>
    </row>
    <row r="35" spans="1:1" x14ac:dyDescent="0.25">
      <c r="A35" t="s">
        <v>92</v>
      </c>
    </row>
    <row r="36" spans="1:1" x14ac:dyDescent="0.25">
      <c r="A36"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3"/>
  <sheetViews>
    <sheetView workbookViewId="0">
      <selection activeCell="F4" sqref="F4"/>
    </sheetView>
  </sheetViews>
  <sheetFormatPr defaultColWidth="9.140625" defaultRowHeight="14.25" x14ac:dyDescent="0.2"/>
  <cols>
    <col min="1" max="1" width="24" style="7" bestFit="1" customWidth="1"/>
    <col min="2" max="2" width="24.85546875" style="7" bestFit="1" customWidth="1"/>
    <col min="3" max="3" width="24.7109375" style="7" bestFit="1" customWidth="1"/>
    <col min="4" max="4" width="27.5703125" style="8" bestFit="1" customWidth="1"/>
    <col min="5" max="5" width="26.85546875" style="8" bestFit="1" customWidth="1"/>
    <col min="6" max="6" width="12" style="7" customWidth="1"/>
    <col min="7" max="7" width="9.140625" style="7" bestFit="1" customWidth="1"/>
    <col min="8" max="8" width="10.7109375" style="7" bestFit="1" customWidth="1"/>
    <col min="9" max="9" width="10.140625" style="7" bestFit="1" customWidth="1"/>
    <col min="10" max="10" width="12.5703125" style="7" bestFit="1" customWidth="1"/>
    <col min="11" max="11" width="11.28515625" style="7" bestFit="1" customWidth="1"/>
    <col min="12" max="13" width="6.7109375" style="7" bestFit="1" customWidth="1"/>
    <col min="14" max="16384" width="9.140625" style="7"/>
  </cols>
  <sheetData>
    <row r="1" spans="1:12" ht="45" x14ac:dyDescent="0.25">
      <c r="A1" s="9" t="s">
        <v>52</v>
      </c>
      <c r="B1" s="10" t="s">
        <v>53</v>
      </c>
      <c r="C1" s="11" t="s">
        <v>54</v>
      </c>
      <c r="D1" s="11" t="s">
        <v>55</v>
      </c>
      <c r="E1" s="15" t="s">
        <v>425</v>
      </c>
      <c r="F1" s="15" t="s">
        <v>100</v>
      </c>
      <c r="G1" s="15" t="s">
        <v>101</v>
      </c>
      <c r="H1" s="15" t="s">
        <v>102</v>
      </c>
      <c r="I1" s="15" t="s">
        <v>103</v>
      </c>
      <c r="J1" s="15" t="s">
        <v>104</v>
      </c>
      <c r="K1" s="15" t="s">
        <v>105</v>
      </c>
      <c r="L1" s="15" t="s">
        <v>106</v>
      </c>
    </row>
    <row r="2" spans="1:12" x14ac:dyDescent="0.2">
      <c r="A2" s="13" t="s">
        <v>1</v>
      </c>
      <c r="B2" s="12" t="s">
        <v>56</v>
      </c>
      <c r="C2" s="12" t="s">
        <v>57</v>
      </c>
      <c r="D2" s="14" t="s">
        <v>58</v>
      </c>
      <c r="E2" s="46" t="s">
        <v>97</v>
      </c>
      <c r="F2" s="7">
        <v>2413</v>
      </c>
      <c r="G2" s="7">
        <v>29109</v>
      </c>
      <c r="I2" s="7">
        <v>1679</v>
      </c>
      <c r="K2" s="7">
        <v>5217</v>
      </c>
      <c r="L2" s="7">
        <f>SUM(F2:K2)</f>
        <v>38418</v>
      </c>
    </row>
    <row r="3" spans="1:12" x14ac:dyDescent="0.2">
      <c r="A3" s="13" t="s">
        <v>10</v>
      </c>
      <c r="B3" s="12" t="s">
        <v>59</v>
      </c>
      <c r="C3" s="12" t="s">
        <v>60</v>
      </c>
      <c r="D3" s="14" t="s">
        <v>61</v>
      </c>
      <c r="E3" s="46" t="s">
        <v>98</v>
      </c>
    </row>
    <row r="4" spans="1:12" ht="28.5" x14ac:dyDescent="0.2">
      <c r="A4" s="13" t="s">
        <v>11</v>
      </c>
      <c r="B4" s="12">
        <v>369</v>
      </c>
      <c r="C4" s="12">
        <v>89</v>
      </c>
      <c r="D4" s="14" t="s">
        <v>62</v>
      </c>
      <c r="E4" s="46" t="s">
        <v>98</v>
      </c>
    </row>
    <row r="5" spans="1:12" x14ac:dyDescent="0.2">
      <c r="A5" s="13" t="s">
        <v>12</v>
      </c>
      <c r="B5" s="12">
        <v>780.01</v>
      </c>
      <c r="C5" s="12">
        <v>85</v>
      </c>
      <c r="D5" s="14" t="s">
        <v>63</v>
      </c>
      <c r="E5" s="46" t="s">
        <v>98</v>
      </c>
    </row>
    <row r="6" spans="1:12" ht="28.5" x14ac:dyDescent="0.2">
      <c r="A6" s="13" t="s">
        <v>13</v>
      </c>
      <c r="B6" s="12" t="s">
        <v>64</v>
      </c>
      <c r="C6" s="12">
        <v>101</v>
      </c>
      <c r="D6" s="14" t="s">
        <v>65</v>
      </c>
      <c r="E6" s="46" t="s">
        <v>98</v>
      </c>
    </row>
    <row r="7" spans="1:12" ht="28.5" x14ac:dyDescent="0.2">
      <c r="A7" s="13" t="s">
        <v>14</v>
      </c>
      <c r="B7" s="12" t="s">
        <v>66</v>
      </c>
      <c r="C7" s="12">
        <v>158</v>
      </c>
      <c r="D7" s="14" t="s">
        <v>67</v>
      </c>
      <c r="E7" s="46" t="s">
        <v>98</v>
      </c>
    </row>
    <row r="8" spans="1:12" ht="28.5" x14ac:dyDescent="0.2">
      <c r="A8" s="13" t="s">
        <v>6</v>
      </c>
      <c r="B8" s="12">
        <v>410</v>
      </c>
      <c r="C8" s="12">
        <v>100</v>
      </c>
      <c r="D8" s="14" t="s">
        <v>68</v>
      </c>
      <c r="E8" s="46" t="s">
        <v>99</v>
      </c>
      <c r="F8" s="7">
        <v>1186</v>
      </c>
      <c r="G8" s="7">
        <v>19648</v>
      </c>
      <c r="H8" s="7">
        <v>1607</v>
      </c>
      <c r="I8" s="7">
        <v>588</v>
      </c>
      <c r="J8" s="7">
        <v>7105</v>
      </c>
      <c r="K8" s="7">
        <v>4163</v>
      </c>
      <c r="L8" s="7">
        <f t="shared" ref="L8:L11" si="0">SUM(F8:K8)</f>
        <v>34297</v>
      </c>
    </row>
    <row r="9" spans="1:12" x14ac:dyDescent="0.2">
      <c r="A9" s="13" t="s">
        <v>15</v>
      </c>
      <c r="B9" s="12" t="s">
        <v>69</v>
      </c>
      <c r="C9" s="12" t="s">
        <v>70</v>
      </c>
      <c r="D9" s="14" t="s">
        <v>71</v>
      </c>
      <c r="E9" s="46" t="s">
        <v>98</v>
      </c>
    </row>
    <row r="10" spans="1:12" x14ac:dyDescent="0.2">
      <c r="A10" s="13" t="s">
        <v>16</v>
      </c>
      <c r="B10" s="12">
        <v>344.9</v>
      </c>
      <c r="C10" s="12">
        <v>82</v>
      </c>
      <c r="D10" s="14" t="s">
        <v>63</v>
      </c>
      <c r="E10" s="46" t="s">
        <v>98</v>
      </c>
    </row>
    <row r="11" spans="1:12" ht="29.25" x14ac:dyDescent="0.25">
      <c r="A11" s="13" t="s">
        <v>0</v>
      </c>
      <c r="B11" s="12">
        <v>434.91</v>
      </c>
      <c r="C11" s="12">
        <v>109</v>
      </c>
      <c r="D11" s="14" t="s">
        <v>72</v>
      </c>
      <c r="E11" s="46" t="s">
        <v>97</v>
      </c>
      <c r="F11" s="7">
        <v>1014</v>
      </c>
      <c r="G11" s="7">
        <v>16337</v>
      </c>
      <c r="H11" s="7">
        <v>1640</v>
      </c>
      <c r="I11" s="7">
        <v>523</v>
      </c>
      <c r="J11" s="7">
        <v>8537</v>
      </c>
      <c r="K11" s="7">
        <v>5232</v>
      </c>
      <c r="L11" s="40">
        <f t="shared" si="0"/>
        <v>33283</v>
      </c>
    </row>
    <row r="13" spans="1:12" x14ac:dyDescent="0.2">
      <c r="A13" s="7" t="s">
        <v>92</v>
      </c>
    </row>
    <row r="14" spans="1:12" x14ac:dyDescent="0.2">
      <c r="A14" s="7" t="s">
        <v>107</v>
      </c>
      <c r="E14" s="16"/>
    </row>
    <row r="15" spans="1:12" x14ac:dyDescent="0.2">
      <c r="A15" s="7" t="s">
        <v>108</v>
      </c>
    </row>
    <row r="17" spans="1:1" x14ac:dyDescent="0.2">
      <c r="A17" s="7" t="s">
        <v>171</v>
      </c>
    </row>
    <row r="18" spans="1:1" x14ac:dyDescent="0.2">
      <c r="A18" s="7" t="s">
        <v>175</v>
      </c>
    </row>
    <row r="19" spans="1:1" x14ac:dyDescent="0.2">
      <c r="A19" s="7" t="s">
        <v>172</v>
      </c>
    </row>
    <row r="20" spans="1:1" x14ac:dyDescent="0.2">
      <c r="A20" s="7" t="s">
        <v>176</v>
      </c>
    </row>
    <row r="21" spans="1:1" x14ac:dyDescent="0.2">
      <c r="A21" s="7" t="s">
        <v>173</v>
      </c>
    </row>
    <row r="22" spans="1:1" x14ac:dyDescent="0.2">
      <c r="A22" s="7" t="s">
        <v>174</v>
      </c>
    </row>
    <row r="23" spans="1:1" x14ac:dyDescent="0.2">
      <c r="A23" s="7" t="s">
        <v>177</v>
      </c>
    </row>
  </sheetData>
  <pageMargins left="0.7" right="0.7" top="0.75" bottom="0.75" header="0.3" footer="0.3"/>
  <pageSetup scale="7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
  <sheetViews>
    <sheetView workbookViewId="0">
      <selection activeCell="D1" sqref="D1"/>
    </sheetView>
  </sheetViews>
  <sheetFormatPr defaultColWidth="15.5703125" defaultRowHeight="14.25" x14ac:dyDescent="0.2"/>
  <cols>
    <col min="1" max="1" width="25.7109375" style="7" customWidth="1"/>
    <col min="2" max="2" width="5.5703125" style="7" bestFit="1" customWidth="1"/>
    <col min="3" max="3" width="15.5703125" style="7"/>
    <col min="4" max="4" width="17.85546875" style="7" bestFit="1" customWidth="1"/>
    <col min="5" max="6" width="17.85546875" style="7" customWidth="1"/>
    <col min="7" max="9" width="15.5703125" style="7"/>
    <col min="10" max="10" width="20.28515625" style="7" bestFit="1" customWidth="1"/>
    <col min="11" max="13" width="15.5703125" style="7"/>
    <col min="14" max="14" width="20.140625" style="7" customWidth="1"/>
    <col min="15" max="16384" width="15.5703125" style="7"/>
  </cols>
  <sheetData>
    <row r="1" spans="1:15" x14ac:dyDescent="0.2">
      <c r="A1" s="7" t="s">
        <v>92</v>
      </c>
      <c r="B1" s="7" t="s">
        <v>5</v>
      </c>
      <c r="C1" s="7" t="s">
        <v>119</v>
      </c>
      <c r="D1" s="7" t="s">
        <v>491</v>
      </c>
      <c r="E1" s="7" t="s">
        <v>139</v>
      </c>
      <c r="F1" s="7" t="s">
        <v>147</v>
      </c>
      <c r="G1" s="7" t="s">
        <v>93</v>
      </c>
    </row>
    <row r="2" spans="1:15" ht="43.5" x14ac:dyDescent="0.25">
      <c r="A2" s="8" t="s">
        <v>109</v>
      </c>
      <c r="B2" s="7">
        <v>2010</v>
      </c>
      <c r="C2" s="23"/>
      <c r="E2" s="7" t="s">
        <v>152</v>
      </c>
      <c r="F2" s="7" t="s">
        <v>4</v>
      </c>
      <c r="G2" s="22"/>
      <c r="H2" s="22" t="s">
        <v>206</v>
      </c>
      <c r="I2" s="22"/>
      <c r="J2" s="22"/>
      <c r="K2" s="22"/>
      <c r="L2" s="22" t="s">
        <v>207</v>
      </c>
      <c r="M2" s="22"/>
      <c r="N2" s="22"/>
      <c r="O2" s="22"/>
    </row>
    <row r="3" spans="1:15" ht="30" x14ac:dyDescent="0.25">
      <c r="F3" s="7" t="s">
        <v>322</v>
      </c>
      <c r="G3" s="22"/>
      <c r="H3" s="22" t="s">
        <v>112</v>
      </c>
      <c r="I3" s="22" t="s">
        <v>113</v>
      </c>
      <c r="J3" s="22" t="s">
        <v>208</v>
      </c>
      <c r="K3" s="22" t="s">
        <v>155</v>
      </c>
      <c r="L3" s="22" t="s">
        <v>112</v>
      </c>
      <c r="M3" s="22" t="s">
        <v>201</v>
      </c>
      <c r="N3" s="22" t="s">
        <v>208</v>
      </c>
      <c r="O3" s="22" t="s">
        <v>155</v>
      </c>
    </row>
    <row r="4" spans="1:15" x14ac:dyDescent="0.2">
      <c r="G4" s="13" t="s">
        <v>24</v>
      </c>
      <c r="H4" s="24">
        <v>25694</v>
      </c>
      <c r="I4" s="24">
        <v>25152</v>
      </c>
      <c r="J4" s="13">
        <v>15</v>
      </c>
      <c r="K4" s="13">
        <f>AVERAGE(H4:I4)*J4</f>
        <v>381345</v>
      </c>
      <c r="L4" s="28">
        <v>21412</v>
      </c>
      <c r="M4" s="28">
        <v>20960</v>
      </c>
      <c r="N4" s="13">
        <v>29</v>
      </c>
      <c r="O4" s="13">
        <f>AVERAGE(L4:M4)*N4</f>
        <v>614394</v>
      </c>
    </row>
    <row r="5" spans="1:15" x14ac:dyDescent="0.2">
      <c r="G5" s="13" t="s">
        <v>25</v>
      </c>
      <c r="H5" s="24">
        <v>129802</v>
      </c>
      <c r="I5" s="24">
        <v>138300</v>
      </c>
      <c r="J5" s="13">
        <v>7</v>
      </c>
      <c r="K5" s="13">
        <f t="shared" ref="K5:K21" si="0">AVERAGE(H5:I5)*J5</f>
        <v>938357</v>
      </c>
      <c r="L5" s="28">
        <v>108168</v>
      </c>
      <c r="M5" s="28">
        <v>115250</v>
      </c>
      <c r="N5" s="13">
        <v>3</v>
      </c>
      <c r="O5" s="13">
        <f t="shared" ref="O5:O21" si="1">AVERAGE(L5:M5)*N5</f>
        <v>335127</v>
      </c>
    </row>
    <row r="6" spans="1:15" x14ac:dyDescent="0.2">
      <c r="G6" s="13" t="s">
        <v>26</v>
      </c>
      <c r="H6" s="24">
        <v>27693</v>
      </c>
      <c r="I6" s="25"/>
      <c r="J6" s="13">
        <v>141</v>
      </c>
      <c r="K6" s="13">
        <f t="shared" si="0"/>
        <v>3904713</v>
      </c>
      <c r="L6" s="28">
        <v>23078</v>
      </c>
      <c r="M6" s="13"/>
      <c r="N6" s="13">
        <v>92</v>
      </c>
      <c r="O6" s="13">
        <f t="shared" si="1"/>
        <v>2123176</v>
      </c>
    </row>
    <row r="7" spans="1:15" x14ac:dyDescent="0.2">
      <c r="G7" s="13" t="s">
        <v>27</v>
      </c>
      <c r="H7" s="24">
        <v>54209</v>
      </c>
      <c r="I7" s="25"/>
      <c r="J7" s="13">
        <v>7</v>
      </c>
      <c r="K7" s="13">
        <f t="shared" si="0"/>
        <v>379463</v>
      </c>
      <c r="L7" s="28">
        <v>45174</v>
      </c>
      <c r="M7" s="13"/>
      <c r="N7" s="13">
        <v>2</v>
      </c>
      <c r="O7" s="13">
        <f t="shared" si="1"/>
        <v>90348</v>
      </c>
    </row>
    <row r="8" spans="1:15" x14ac:dyDescent="0.2">
      <c r="G8" s="13" t="s">
        <v>28</v>
      </c>
      <c r="H8" s="24">
        <v>61593</v>
      </c>
      <c r="I8" s="24">
        <v>62174</v>
      </c>
      <c r="J8" s="13">
        <v>41</v>
      </c>
      <c r="K8" s="13">
        <f t="shared" si="0"/>
        <v>2537223.5</v>
      </c>
      <c r="L8" s="28">
        <v>51327</v>
      </c>
      <c r="M8" s="28">
        <v>51812</v>
      </c>
      <c r="N8" s="13">
        <v>65</v>
      </c>
      <c r="O8" s="13">
        <f t="shared" si="1"/>
        <v>3352017.5</v>
      </c>
    </row>
    <row r="9" spans="1:15" x14ac:dyDescent="0.2">
      <c r="G9" s="13" t="s">
        <v>29</v>
      </c>
      <c r="H9" s="24">
        <v>95439</v>
      </c>
      <c r="I9" s="24">
        <v>95787</v>
      </c>
      <c r="J9" s="13">
        <v>3</v>
      </c>
      <c r="K9" s="13">
        <f t="shared" si="0"/>
        <v>286839</v>
      </c>
      <c r="L9" s="28">
        <v>79532</v>
      </c>
      <c r="M9" s="28">
        <v>79822</v>
      </c>
      <c r="N9" s="13">
        <v>4</v>
      </c>
      <c r="O9" s="13">
        <f t="shared" si="1"/>
        <v>318708</v>
      </c>
    </row>
    <row r="10" spans="1:15" x14ac:dyDescent="0.2">
      <c r="G10" s="13" t="s">
        <v>30</v>
      </c>
      <c r="H10" s="24">
        <v>50376</v>
      </c>
      <c r="I10" s="24">
        <v>47015</v>
      </c>
      <c r="J10" s="13">
        <v>14</v>
      </c>
      <c r="K10" s="13">
        <f t="shared" si="0"/>
        <v>681737</v>
      </c>
      <c r="L10" s="28">
        <v>41980</v>
      </c>
      <c r="M10" s="28">
        <v>39179</v>
      </c>
      <c r="N10" s="13">
        <v>10</v>
      </c>
      <c r="O10" s="13">
        <f t="shared" si="1"/>
        <v>405795</v>
      </c>
    </row>
    <row r="11" spans="1:15" x14ac:dyDescent="0.2">
      <c r="G11" s="13" t="s">
        <v>31</v>
      </c>
      <c r="H11" s="24">
        <v>46077</v>
      </c>
      <c r="I11" s="24">
        <v>46048</v>
      </c>
      <c r="J11" s="13">
        <v>14</v>
      </c>
      <c r="K11" s="13">
        <f t="shared" si="0"/>
        <v>644875</v>
      </c>
      <c r="L11" s="28">
        <v>38397</v>
      </c>
      <c r="M11" s="28">
        <v>38374</v>
      </c>
      <c r="N11" s="13">
        <v>12</v>
      </c>
      <c r="O11" s="13">
        <f t="shared" si="1"/>
        <v>460626</v>
      </c>
    </row>
    <row r="12" spans="1:15" x14ac:dyDescent="0.2">
      <c r="G12" s="13" t="s">
        <v>32</v>
      </c>
      <c r="H12" s="24">
        <v>39800</v>
      </c>
      <c r="I12" s="24">
        <v>43243</v>
      </c>
      <c r="J12" s="13">
        <v>10</v>
      </c>
      <c r="K12" s="13">
        <f t="shared" si="0"/>
        <v>415215</v>
      </c>
      <c r="L12" s="28">
        <v>33167</v>
      </c>
      <c r="M12" s="28">
        <v>36036</v>
      </c>
      <c r="N12" s="13">
        <v>11</v>
      </c>
      <c r="O12" s="13">
        <f t="shared" si="1"/>
        <v>380616.5</v>
      </c>
    </row>
    <row r="13" spans="1:15" x14ac:dyDescent="0.2">
      <c r="G13" s="13" t="s">
        <v>33</v>
      </c>
      <c r="H13" s="24">
        <v>72639</v>
      </c>
      <c r="I13" s="24">
        <v>73062</v>
      </c>
      <c r="J13" s="13">
        <v>28</v>
      </c>
      <c r="K13" s="13">
        <f t="shared" si="0"/>
        <v>2039814</v>
      </c>
      <c r="L13" s="28">
        <v>60533</v>
      </c>
      <c r="M13" s="28">
        <v>60885</v>
      </c>
      <c r="N13" s="13">
        <v>52</v>
      </c>
      <c r="O13" s="13">
        <f t="shared" si="1"/>
        <v>3156868</v>
      </c>
    </row>
    <row r="14" spans="1:15" x14ac:dyDescent="0.2">
      <c r="G14" s="13" t="s">
        <v>34</v>
      </c>
      <c r="H14" s="24">
        <v>69457</v>
      </c>
      <c r="I14" s="24">
        <v>72841</v>
      </c>
      <c r="J14" s="13">
        <v>26</v>
      </c>
      <c r="K14" s="13">
        <f t="shared" si="0"/>
        <v>1849874</v>
      </c>
      <c r="L14" s="28">
        <v>57881</v>
      </c>
      <c r="M14" s="28">
        <v>60701</v>
      </c>
      <c r="N14" s="13">
        <v>22</v>
      </c>
      <c r="O14" s="13">
        <f t="shared" si="1"/>
        <v>1304402</v>
      </c>
    </row>
    <row r="15" spans="1:15" x14ac:dyDescent="0.2">
      <c r="G15" s="13" t="s">
        <v>35</v>
      </c>
      <c r="H15" s="24">
        <v>6057</v>
      </c>
      <c r="I15" s="24">
        <v>6524</v>
      </c>
      <c r="J15" s="13">
        <v>53</v>
      </c>
      <c r="K15" s="13">
        <f t="shared" si="0"/>
        <v>333396.5</v>
      </c>
      <c r="L15" s="28">
        <v>5047</v>
      </c>
      <c r="M15" s="28">
        <v>5437</v>
      </c>
      <c r="N15" s="13">
        <v>30</v>
      </c>
      <c r="O15" s="13">
        <f t="shared" si="1"/>
        <v>157260</v>
      </c>
    </row>
    <row r="16" spans="1:15" x14ac:dyDescent="0.2">
      <c r="G16" s="13" t="s">
        <v>2</v>
      </c>
      <c r="H16" s="24">
        <v>40173</v>
      </c>
      <c r="I16" s="24">
        <v>41161</v>
      </c>
      <c r="J16" s="13">
        <f>528-SUM(J4:J15)-SUM(J17:J21)</f>
        <v>45</v>
      </c>
      <c r="K16" s="13">
        <f t="shared" si="0"/>
        <v>1830015</v>
      </c>
      <c r="L16" s="28">
        <v>40173</v>
      </c>
      <c r="M16" s="28">
        <v>41161</v>
      </c>
      <c r="N16" s="13">
        <f>552-SUM(N4:N15)-SUM(N17:N21)</f>
        <v>56</v>
      </c>
      <c r="O16" s="13">
        <f t="shared" si="1"/>
        <v>2277352</v>
      </c>
    </row>
    <row r="17" spans="7:15" x14ac:dyDescent="0.2">
      <c r="G17" s="13" t="s">
        <v>36</v>
      </c>
      <c r="H17" s="24">
        <v>98788</v>
      </c>
      <c r="I17" s="13"/>
      <c r="J17" s="13">
        <v>8</v>
      </c>
      <c r="K17" s="13">
        <f t="shared" si="0"/>
        <v>790304</v>
      </c>
      <c r="L17" s="28">
        <v>82324</v>
      </c>
      <c r="M17" s="13"/>
      <c r="N17" s="13">
        <v>7</v>
      </c>
      <c r="O17" s="13">
        <f t="shared" si="1"/>
        <v>576268</v>
      </c>
    </row>
    <row r="18" spans="7:15" x14ac:dyDescent="0.2">
      <c r="G18" s="13" t="s">
        <v>37</v>
      </c>
      <c r="H18" s="24">
        <v>112154</v>
      </c>
      <c r="I18" s="24">
        <v>112911</v>
      </c>
      <c r="J18" s="13">
        <v>5</v>
      </c>
      <c r="K18" s="13">
        <f t="shared" si="0"/>
        <v>562662.5</v>
      </c>
      <c r="L18" s="28">
        <v>93462</v>
      </c>
      <c r="M18" s="28">
        <v>94092</v>
      </c>
      <c r="N18" s="13">
        <v>9</v>
      </c>
      <c r="O18" s="13">
        <f t="shared" si="1"/>
        <v>843993</v>
      </c>
    </row>
    <row r="19" spans="7:15" x14ac:dyDescent="0.2">
      <c r="G19" s="13" t="s">
        <v>42</v>
      </c>
      <c r="H19" s="13"/>
      <c r="I19" s="24">
        <v>23652</v>
      </c>
      <c r="J19" s="13">
        <v>87</v>
      </c>
      <c r="K19" s="13">
        <f t="shared" si="0"/>
        <v>2057724</v>
      </c>
      <c r="L19" s="13"/>
      <c r="M19" s="28">
        <v>19710</v>
      </c>
      <c r="N19" s="13">
        <v>126</v>
      </c>
      <c r="O19" s="13">
        <f t="shared" si="1"/>
        <v>2483460</v>
      </c>
    </row>
    <row r="20" spans="7:15" x14ac:dyDescent="0.2">
      <c r="G20" s="13" t="s">
        <v>38</v>
      </c>
      <c r="H20" s="24">
        <v>85291</v>
      </c>
      <c r="I20" s="24">
        <v>94144</v>
      </c>
      <c r="J20" s="13">
        <v>4</v>
      </c>
      <c r="K20" s="13">
        <f t="shared" si="0"/>
        <v>358870</v>
      </c>
      <c r="L20" s="28">
        <v>71076</v>
      </c>
      <c r="M20" s="28">
        <v>78453</v>
      </c>
      <c r="N20" s="13">
        <v>6</v>
      </c>
      <c r="O20" s="13">
        <f t="shared" si="1"/>
        <v>448587</v>
      </c>
    </row>
    <row r="21" spans="7:15" x14ac:dyDescent="0.2">
      <c r="G21" s="13" t="s">
        <v>39</v>
      </c>
      <c r="H21" s="24">
        <v>32129</v>
      </c>
      <c r="I21" s="25"/>
      <c r="J21" s="13">
        <v>20</v>
      </c>
      <c r="K21" s="13">
        <f t="shared" si="0"/>
        <v>642580</v>
      </c>
      <c r="L21" s="28">
        <v>26775</v>
      </c>
      <c r="M21" s="13"/>
      <c r="N21" s="13">
        <v>16</v>
      </c>
      <c r="O21" s="13">
        <f t="shared" si="1"/>
        <v>428400</v>
      </c>
    </row>
    <row r="22" spans="7:15" ht="15" x14ac:dyDescent="0.25">
      <c r="G22" s="26" t="s">
        <v>106</v>
      </c>
      <c r="H22" s="27"/>
      <c r="I22" s="27"/>
      <c r="J22" s="27">
        <f>SUM(J4:J21)</f>
        <v>528</v>
      </c>
      <c r="K22" s="27">
        <f t="shared" ref="K22:O22" si="2">SUM(K4:K21)</f>
        <v>20635007.5</v>
      </c>
      <c r="L22" s="27"/>
      <c r="M22" s="27"/>
      <c r="N22" s="27">
        <f t="shared" si="2"/>
        <v>552</v>
      </c>
      <c r="O22" s="27">
        <f t="shared" si="2"/>
        <v>19757398</v>
      </c>
    </row>
    <row r="23" spans="7:15" ht="15" x14ac:dyDescent="0.25">
      <c r="G23" s="26" t="s">
        <v>131</v>
      </c>
      <c r="H23" s="27"/>
      <c r="I23" s="27"/>
      <c r="J23" s="27"/>
      <c r="K23" s="27">
        <f>K22/J22</f>
        <v>39081.453598484848</v>
      </c>
      <c r="L23" s="27"/>
      <c r="M23" s="27"/>
      <c r="N23" s="27"/>
      <c r="O23" s="27">
        <f>O22/N22</f>
        <v>35792.387681159424</v>
      </c>
    </row>
    <row r="24" spans="7:15" ht="15" x14ac:dyDescent="0.25">
      <c r="G24" s="42" t="s">
        <v>93</v>
      </c>
      <c r="H24" s="42" t="s">
        <v>209</v>
      </c>
      <c r="I24" s="42"/>
      <c r="J24" s="42"/>
      <c r="K24" s="42"/>
      <c r="L24" s="42"/>
      <c r="M24" s="42"/>
      <c r="N24" s="42"/>
      <c r="O24" s="42"/>
    </row>
    <row r="25" spans="7:15" ht="15" x14ac:dyDescent="0.25">
      <c r="H25" s="42" t="s">
        <v>439</v>
      </c>
      <c r="I25" s="42"/>
      <c r="J25" s="42"/>
      <c r="K25" s="42"/>
      <c r="L25" s="42"/>
      <c r="M25" s="42"/>
      <c r="N25" s="42"/>
      <c r="O25" s="42"/>
    </row>
    <row r="26" spans="7:15" s="40" customFormat="1" ht="15" x14ac:dyDescent="0.25"/>
    <row r="27" spans="7:15" ht="15" x14ac:dyDescent="0.25">
      <c r="G27" s="21"/>
      <c r="H27" s="22" t="s">
        <v>206</v>
      </c>
      <c r="I27" s="22"/>
      <c r="J27" s="22" t="s">
        <v>207</v>
      </c>
      <c r="K27" s="21"/>
      <c r="L27" s="21"/>
      <c r="M27" s="21"/>
      <c r="N27" s="22"/>
      <c r="O27" s="22"/>
    </row>
    <row r="28" spans="7:15" ht="45" x14ac:dyDescent="0.25">
      <c r="G28" s="21"/>
      <c r="H28" s="22" t="s">
        <v>114</v>
      </c>
      <c r="I28" s="22" t="s">
        <v>115</v>
      </c>
      <c r="J28" s="21" t="s">
        <v>114</v>
      </c>
      <c r="K28" s="21" t="s">
        <v>204</v>
      </c>
      <c r="L28" s="21" t="s">
        <v>205</v>
      </c>
      <c r="M28" s="21" t="s">
        <v>115</v>
      </c>
      <c r="N28" s="21" t="s">
        <v>202</v>
      </c>
      <c r="O28" s="21" t="s">
        <v>203</v>
      </c>
    </row>
    <row r="29" spans="7:15" x14ac:dyDescent="0.2">
      <c r="G29" s="13" t="s">
        <v>24</v>
      </c>
      <c r="H29" s="24">
        <v>3710</v>
      </c>
      <c r="I29" s="24">
        <v>4677</v>
      </c>
      <c r="J29" s="28">
        <v>3710</v>
      </c>
      <c r="K29" s="28">
        <v>78698</v>
      </c>
      <c r="L29" s="28">
        <v>10005</v>
      </c>
      <c r="M29" s="28">
        <v>4677</v>
      </c>
      <c r="N29" s="28">
        <v>75772</v>
      </c>
      <c r="O29" s="28">
        <v>8446</v>
      </c>
    </row>
    <row r="30" spans="7:15" x14ac:dyDescent="0.2">
      <c r="G30" s="13" t="s">
        <v>25</v>
      </c>
      <c r="H30" s="24">
        <v>8803</v>
      </c>
      <c r="I30" s="24">
        <v>9434</v>
      </c>
      <c r="J30" s="28">
        <v>8803</v>
      </c>
      <c r="K30" s="28">
        <v>140891</v>
      </c>
      <c r="L30" s="28">
        <v>39893</v>
      </c>
      <c r="M30" s="28">
        <v>9434</v>
      </c>
      <c r="N30" s="28">
        <v>134244</v>
      </c>
      <c r="O30" s="28">
        <v>67914</v>
      </c>
    </row>
    <row r="31" spans="7:15" x14ac:dyDescent="0.2">
      <c r="G31" s="13" t="s">
        <v>26</v>
      </c>
      <c r="H31" s="24">
        <v>2207</v>
      </c>
      <c r="I31" s="25"/>
      <c r="J31" s="28">
        <v>2207</v>
      </c>
      <c r="K31" s="28">
        <v>62856</v>
      </c>
      <c r="L31" s="29">
        <v>748</v>
      </c>
      <c r="M31" s="13"/>
      <c r="N31" s="13"/>
      <c r="O31" s="13"/>
    </row>
    <row r="32" spans="7:15" x14ac:dyDescent="0.2">
      <c r="G32" s="13" t="s">
        <v>27</v>
      </c>
      <c r="H32" s="24">
        <v>1425</v>
      </c>
      <c r="I32" s="24"/>
      <c r="J32" s="28">
        <v>1425</v>
      </c>
      <c r="K32" s="28">
        <v>78553</v>
      </c>
      <c r="L32" s="28">
        <v>7949</v>
      </c>
      <c r="M32" s="13"/>
      <c r="N32" s="13"/>
      <c r="O32" s="13"/>
    </row>
    <row r="33" spans="7:15" x14ac:dyDescent="0.2">
      <c r="G33" s="13" t="s">
        <v>28</v>
      </c>
      <c r="H33" s="24">
        <v>3159</v>
      </c>
      <c r="I33" s="24">
        <v>4595</v>
      </c>
      <c r="J33" s="28">
        <v>3159</v>
      </c>
      <c r="K33" s="28">
        <v>84519</v>
      </c>
      <c r="L33" s="28">
        <v>14641</v>
      </c>
      <c r="M33" s="28">
        <v>4595</v>
      </c>
      <c r="N33" s="28">
        <v>85671</v>
      </c>
      <c r="O33" s="28">
        <v>15068</v>
      </c>
    </row>
    <row r="34" spans="7:15" x14ac:dyDescent="0.2">
      <c r="G34" s="13" t="s">
        <v>29</v>
      </c>
      <c r="H34" s="24">
        <v>6853</v>
      </c>
      <c r="I34" s="24">
        <v>6450</v>
      </c>
      <c r="J34" s="28">
        <v>6853</v>
      </c>
      <c r="K34" s="28">
        <v>104278</v>
      </c>
      <c r="L34" s="28">
        <v>41051</v>
      </c>
      <c r="M34" s="28">
        <v>6450</v>
      </c>
      <c r="N34" s="28">
        <v>103742</v>
      </c>
      <c r="O34" s="28">
        <v>51035</v>
      </c>
    </row>
    <row r="35" spans="7:15" x14ac:dyDescent="0.2">
      <c r="G35" s="13" t="s">
        <v>30</v>
      </c>
      <c r="H35" s="24">
        <v>4826</v>
      </c>
      <c r="I35" s="24">
        <v>4001</v>
      </c>
      <c r="J35" s="28">
        <v>4826</v>
      </c>
      <c r="K35" s="28">
        <v>86602</v>
      </c>
      <c r="L35" s="28">
        <v>10064</v>
      </c>
      <c r="M35" s="28">
        <v>4001</v>
      </c>
      <c r="N35" s="28">
        <v>83662</v>
      </c>
      <c r="O35" s="28">
        <v>9269</v>
      </c>
    </row>
    <row r="36" spans="7:15" x14ac:dyDescent="0.2">
      <c r="G36" s="13" t="s">
        <v>31</v>
      </c>
      <c r="H36" s="24">
        <v>6255</v>
      </c>
      <c r="I36" s="24">
        <v>6018</v>
      </c>
      <c r="J36" s="28">
        <v>6255</v>
      </c>
      <c r="K36" s="28">
        <v>73843</v>
      </c>
      <c r="L36" s="28">
        <v>24607</v>
      </c>
      <c r="M36" s="28">
        <v>6018</v>
      </c>
      <c r="N36" s="28">
        <v>78082</v>
      </c>
      <c r="O36" s="28">
        <v>19142</v>
      </c>
    </row>
    <row r="37" spans="7:15" x14ac:dyDescent="0.2">
      <c r="G37" s="13" t="s">
        <v>32</v>
      </c>
      <c r="H37" s="24">
        <v>8537</v>
      </c>
      <c r="I37" s="24">
        <v>10249</v>
      </c>
      <c r="J37" s="28">
        <v>8537</v>
      </c>
      <c r="K37" s="28">
        <v>130131</v>
      </c>
      <c r="L37" s="28">
        <v>31517</v>
      </c>
      <c r="M37" s="28">
        <v>10249</v>
      </c>
      <c r="N37" s="28">
        <v>133183</v>
      </c>
      <c r="O37" s="28">
        <v>35941</v>
      </c>
    </row>
    <row r="38" spans="7:15" x14ac:dyDescent="0.2">
      <c r="G38" s="13" t="s">
        <v>33</v>
      </c>
      <c r="H38" s="24">
        <v>8130</v>
      </c>
      <c r="I38" s="24">
        <v>7591</v>
      </c>
      <c r="J38" s="28">
        <v>8130</v>
      </c>
      <c r="K38" s="28">
        <v>92524</v>
      </c>
      <c r="L38" s="28">
        <v>18897</v>
      </c>
      <c r="M38" s="28">
        <v>7591</v>
      </c>
      <c r="N38" s="28">
        <v>95318</v>
      </c>
      <c r="O38" s="28">
        <v>25008</v>
      </c>
    </row>
    <row r="39" spans="7:15" x14ac:dyDescent="0.2">
      <c r="G39" s="13" t="s">
        <v>34</v>
      </c>
      <c r="H39" s="24">
        <v>8622</v>
      </c>
      <c r="I39" s="24">
        <v>9337</v>
      </c>
      <c r="J39" s="28">
        <v>8622</v>
      </c>
      <c r="K39" s="28">
        <v>109842</v>
      </c>
      <c r="L39" s="28">
        <v>20462</v>
      </c>
      <c r="M39" s="28">
        <v>9337</v>
      </c>
      <c r="N39" s="28">
        <v>116596</v>
      </c>
      <c r="O39" s="28">
        <v>27200</v>
      </c>
    </row>
    <row r="40" spans="7:15" x14ac:dyDescent="0.2">
      <c r="G40" s="13" t="s">
        <v>35</v>
      </c>
      <c r="H40" s="24">
        <v>915</v>
      </c>
      <c r="I40" s="24">
        <v>1951</v>
      </c>
      <c r="J40" s="29">
        <v>915</v>
      </c>
      <c r="K40" s="28">
        <v>56784</v>
      </c>
      <c r="L40" s="29">
        <v>252</v>
      </c>
      <c r="M40" s="28">
        <v>1951</v>
      </c>
      <c r="N40" s="28">
        <v>62436</v>
      </c>
      <c r="O40" s="29">
        <v>546</v>
      </c>
    </row>
    <row r="41" spans="7:15" x14ac:dyDescent="0.2">
      <c r="G41" s="13" t="s">
        <v>2</v>
      </c>
      <c r="H41" s="24">
        <v>5859</v>
      </c>
      <c r="I41" s="24">
        <v>7363</v>
      </c>
      <c r="J41" s="28">
        <v>5859</v>
      </c>
      <c r="K41" s="28">
        <v>95782</v>
      </c>
      <c r="L41" s="28">
        <v>21721</v>
      </c>
      <c r="M41" s="28">
        <v>7363</v>
      </c>
      <c r="N41" s="28">
        <v>97473</v>
      </c>
      <c r="O41" s="28">
        <v>25758</v>
      </c>
    </row>
    <row r="42" spans="7:15" x14ac:dyDescent="0.2">
      <c r="G42" s="13" t="s">
        <v>36</v>
      </c>
      <c r="H42" s="24">
        <v>8296</v>
      </c>
      <c r="J42" s="28">
        <v>8296</v>
      </c>
      <c r="K42" s="28">
        <v>99715</v>
      </c>
      <c r="L42" s="28">
        <v>12257</v>
      </c>
      <c r="M42" s="13"/>
      <c r="N42" s="13"/>
      <c r="O42" s="13"/>
    </row>
    <row r="43" spans="7:15" x14ac:dyDescent="0.2">
      <c r="G43" s="13" t="s">
        <v>37</v>
      </c>
      <c r="H43" s="24">
        <v>8672</v>
      </c>
      <c r="I43" s="24">
        <v>11697</v>
      </c>
      <c r="J43" s="28">
        <v>8672</v>
      </c>
      <c r="K43" s="28">
        <v>109941</v>
      </c>
      <c r="L43" s="28">
        <v>40538</v>
      </c>
      <c r="M43" s="28">
        <v>11697</v>
      </c>
      <c r="N43" s="28">
        <v>113115</v>
      </c>
      <c r="O43" s="28">
        <v>47565</v>
      </c>
    </row>
    <row r="44" spans="7:15" x14ac:dyDescent="0.2">
      <c r="G44" s="13" t="s">
        <v>42</v>
      </c>
      <c r="H44" s="13"/>
      <c r="I44" s="24">
        <v>3201</v>
      </c>
      <c r="J44" s="13"/>
      <c r="K44" s="13"/>
      <c r="L44" s="13"/>
      <c r="M44" s="28">
        <v>3201</v>
      </c>
      <c r="N44" s="28">
        <v>62242</v>
      </c>
      <c r="O44" s="28">
        <v>5370</v>
      </c>
    </row>
    <row r="45" spans="7:15" x14ac:dyDescent="0.2">
      <c r="G45" s="13" t="s">
        <v>38</v>
      </c>
      <c r="H45" s="24">
        <v>3977</v>
      </c>
      <c r="I45" s="24">
        <v>4282</v>
      </c>
      <c r="J45" s="28">
        <v>3977</v>
      </c>
      <c r="K45" s="28">
        <v>103758</v>
      </c>
      <c r="L45" s="28">
        <v>29172</v>
      </c>
      <c r="M45" s="28">
        <v>4282</v>
      </c>
      <c r="N45" s="28">
        <v>107130</v>
      </c>
      <c r="O45" s="28">
        <v>25800</v>
      </c>
    </row>
    <row r="46" spans="7:15" x14ac:dyDescent="0.2">
      <c r="G46" s="13" t="s">
        <v>39</v>
      </c>
      <c r="H46" s="24">
        <v>1535</v>
      </c>
      <c r="I46" s="24"/>
      <c r="J46" s="28">
        <v>1535</v>
      </c>
      <c r="K46" s="28">
        <v>70175</v>
      </c>
      <c r="L46" s="28">
        <v>4437</v>
      </c>
      <c r="M46" s="13"/>
      <c r="N46" s="13"/>
      <c r="O46" s="13"/>
    </row>
    <row r="47" spans="7:15" ht="15" x14ac:dyDescent="0.25">
      <c r="G47" s="26" t="s">
        <v>40</v>
      </c>
      <c r="H47" s="27">
        <f>AVERAGE(H29:H46)</f>
        <v>5398.8823529411766</v>
      </c>
      <c r="I47" s="27">
        <f>AVERAGE(I29:I46)</f>
        <v>6489</v>
      </c>
      <c r="J47" s="30">
        <f>AVERAGE(J29:J46)</f>
        <v>5398.8823529411766</v>
      </c>
      <c r="K47" s="30">
        <f>AVERAGE(K29:K46)</f>
        <v>92876</v>
      </c>
      <c r="L47" s="30">
        <f>AVERAGE(L29:L46)</f>
        <v>19306.529411764706</v>
      </c>
      <c r="M47" s="30" t="e">
        <f>AVERAGE(J49:J58)</f>
        <v>#DIV/0!</v>
      </c>
      <c r="N47" s="30" t="e">
        <f>AVERAGE(K49:K58)</f>
        <v>#DIV/0!</v>
      </c>
      <c r="O47" s="30" t="e">
        <f>AVERAGE(#REF!)</f>
        <v>#REF!</v>
      </c>
    </row>
    <row r="48" spans="7:15" ht="15" x14ac:dyDescent="0.25">
      <c r="G48" s="26" t="s">
        <v>41</v>
      </c>
      <c r="H48" s="27">
        <f>MEDIAN(H29:H46)</f>
        <v>5859</v>
      </c>
      <c r="I48" s="27">
        <f>MEDIAN(I29:I46)</f>
        <v>6234</v>
      </c>
      <c r="J48" s="30">
        <f>MEDIAN(J29:J46)</f>
        <v>5859</v>
      </c>
      <c r="K48" s="30">
        <f>MEDIAN(K29:K46)</f>
        <v>92524</v>
      </c>
      <c r="L48" s="30">
        <f>MEDIAN(L29:L46)</f>
        <v>18897</v>
      </c>
      <c r="M48" s="30" t="e">
        <f>MEDIAN(J49:J58)</f>
        <v>#NUM!</v>
      </c>
      <c r="N48" s="30" t="e">
        <f>MEDIAN(K49:K58)</f>
        <v>#NUM!</v>
      </c>
      <c r="O48" s="30" t="e">
        <f>MEDIAN(#REF!)</f>
        <v>#REF!</v>
      </c>
    </row>
    <row r="49" spans="7:10" ht="15" x14ac:dyDescent="0.25">
      <c r="G49"/>
      <c r="H49"/>
      <c r="I49"/>
      <c r="J49"/>
    </row>
    <row r="50" spans="7:10" ht="15" x14ac:dyDescent="0.25">
      <c r="G50" s="6" t="s">
        <v>110</v>
      </c>
      <c r="I50"/>
      <c r="J50"/>
    </row>
    <row r="51" spans="7:10" ht="15" x14ac:dyDescent="0.25">
      <c r="G51" s="6" t="s">
        <v>116</v>
      </c>
      <c r="I51"/>
      <c r="J51"/>
    </row>
    <row r="52" spans="7:10" ht="15" x14ac:dyDescent="0.25">
      <c r="I52"/>
      <c r="J52"/>
    </row>
    <row r="53" spans="7:10" ht="15" x14ac:dyDescent="0.25">
      <c r="G53" s="7" t="s">
        <v>93</v>
      </c>
      <c r="H53" s="7" t="s">
        <v>111</v>
      </c>
      <c r="I53"/>
      <c r="J53"/>
    </row>
    <row r="54" spans="7:10" ht="15" x14ac:dyDescent="0.25">
      <c r="I54"/>
      <c r="J54"/>
    </row>
    <row r="55" spans="7:10" x14ac:dyDescent="0.2">
      <c r="G55" s="7" t="s">
        <v>43</v>
      </c>
    </row>
    <row r="56" spans="7:10" x14ac:dyDescent="0.2">
      <c r="G56" s="7" t="s">
        <v>44</v>
      </c>
    </row>
    <row r="58" spans="7:10" x14ac:dyDescent="0.2">
      <c r="G58" s="7" t="s">
        <v>45</v>
      </c>
    </row>
    <row r="59" spans="7:10" x14ac:dyDescent="0.2">
      <c r="G59" s="7" t="s">
        <v>46</v>
      </c>
    </row>
    <row r="61" spans="7:10" x14ac:dyDescent="0.2">
      <c r="G61" s="7" t="s">
        <v>47</v>
      </c>
    </row>
    <row r="62" spans="7:10" x14ac:dyDescent="0.2">
      <c r="G62" s="7" t="s">
        <v>48</v>
      </c>
    </row>
    <row r="64" spans="7:10" x14ac:dyDescent="0.2">
      <c r="G64" s="7" t="s">
        <v>49</v>
      </c>
    </row>
    <row r="65" spans="7:7" x14ac:dyDescent="0.2">
      <c r="G65" s="7" t="s">
        <v>50</v>
      </c>
    </row>
    <row r="66" spans="7:7" x14ac:dyDescent="0.2">
      <c r="G66" s="7" t="s">
        <v>51</v>
      </c>
    </row>
  </sheetData>
  <hyperlinks>
    <hyperlink ref="G50" r:id="rId1"/>
    <hyperlink ref="G51"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I9" sqref="I9"/>
    </sheetView>
  </sheetViews>
  <sheetFormatPr defaultRowHeight="15" x14ac:dyDescent="0.25"/>
  <cols>
    <col min="1" max="1" width="37.7109375" bestFit="1" customWidth="1"/>
    <col min="2" max="2" width="5.28515625" bestFit="1" customWidth="1"/>
    <col min="3" max="3" width="11.5703125" style="3" bestFit="1" customWidth="1"/>
    <col min="4" max="4" width="16.42578125" bestFit="1" customWidth="1"/>
    <col min="5" max="5" width="12.85546875" bestFit="1" customWidth="1"/>
    <col min="6" max="6" width="14.85546875" bestFit="1" customWidth="1"/>
    <col min="7" max="7" width="12" bestFit="1" customWidth="1"/>
    <col min="8" max="8" width="17.7109375" bestFit="1" customWidth="1"/>
    <col min="9" max="9" width="12" bestFit="1" customWidth="1"/>
  </cols>
  <sheetData>
    <row r="1" spans="1:9" x14ac:dyDescent="0.25">
      <c r="A1" s="7" t="s">
        <v>92</v>
      </c>
      <c r="B1" s="7" t="s">
        <v>5</v>
      </c>
      <c r="C1" s="33" t="s">
        <v>119</v>
      </c>
      <c r="D1" s="7" t="s">
        <v>491</v>
      </c>
      <c r="E1" s="7" t="s">
        <v>139</v>
      </c>
      <c r="F1" s="7" t="s">
        <v>147</v>
      </c>
      <c r="G1" s="7" t="s">
        <v>93</v>
      </c>
    </row>
    <row r="2" spans="1:9" x14ac:dyDescent="0.25">
      <c r="A2" t="s">
        <v>153</v>
      </c>
      <c r="B2">
        <v>2015</v>
      </c>
      <c r="C2" s="20">
        <f>I4</f>
        <v>41674.935679686168</v>
      </c>
      <c r="E2" t="s">
        <v>154</v>
      </c>
      <c r="F2" t="s">
        <v>4</v>
      </c>
      <c r="G2" s="48" t="s">
        <v>17</v>
      </c>
    </row>
    <row r="3" spans="1:9" x14ac:dyDescent="0.25">
      <c r="F3" t="s">
        <v>322</v>
      </c>
      <c r="G3" t="s">
        <v>155</v>
      </c>
      <c r="H3" t="s">
        <v>156</v>
      </c>
      <c r="I3" t="s">
        <v>131</v>
      </c>
    </row>
    <row r="4" spans="1:9" x14ac:dyDescent="0.25">
      <c r="G4">
        <v>46829000000</v>
      </c>
      <c r="H4">
        <v>1123673</v>
      </c>
      <c r="I4">
        <f>G4/H4</f>
        <v>41674.935679686168</v>
      </c>
    </row>
    <row r="5" spans="1:9" x14ac:dyDescent="0.25">
      <c r="G5" t="s">
        <v>18</v>
      </c>
    </row>
    <row r="6" spans="1:9" x14ac:dyDescent="0.25">
      <c r="G6" s="34" t="s">
        <v>210</v>
      </c>
    </row>
    <row r="7" spans="1:9" s="40" customFormat="1" x14ac:dyDescent="0.25">
      <c r="C7" s="3"/>
      <c r="G7" s="34" t="s">
        <v>433</v>
      </c>
    </row>
    <row r="8" spans="1:9" s="40" customFormat="1" x14ac:dyDescent="0.25">
      <c r="C8" s="3"/>
      <c r="G8" s="34" t="s">
        <v>440</v>
      </c>
    </row>
    <row r="9" spans="1:9" x14ac:dyDescent="0.25">
      <c r="G9" t="s">
        <v>405</v>
      </c>
      <c r="I9" s="35">
        <f>I4/0.81*'Medical Inflation'!F27</f>
        <v>52909.716979272707</v>
      </c>
    </row>
    <row r="10" spans="1:9" s="40" customFormat="1" x14ac:dyDescent="0.25">
      <c r="C10" s="3"/>
    </row>
    <row r="11" spans="1:9" ht="15" customHeight="1" x14ac:dyDescent="0.25">
      <c r="A11" t="s">
        <v>157</v>
      </c>
      <c r="B11">
        <v>2010</v>
      </c>
      <c r="C11" s="3">
        <v>49000</v>
      </c>
      <c r="E11" t="s">
        <v>3</v>
      </c>
      <c r="F11" t="s">
        <v>4</v>
      </c>
      <c r="G11" t="s">
        <v>368</v>
      </c>
    </row>
    <row r="12" spans="1:9" x14ac:dyDescent="0.25">
      <c r="G12" s="38" t="s">
        <v>369</v>
      </c>
    </row>
    <row r="14" spans="1:9" x14ac:dyDescent="0.25">
      <c r="A14" t="s">
        <v>238</v>
      </c>
      <c r="B14">
        <v>2008</v>
      </c>
      <c r="D14">
        <v>7</v>
      </c>
      <c r="E14" t="s">
        <v>149</v>
      </c>
      <c r="F14" t="s">
        <v>150</v>
      </c>
      <c r="G14" t="s">
        <v>7</v>
      </c>
    </row>
    <row r="15" spans="1:9" x14ac:dyDescent="0.25">
      <c r="G15" t="s">
        <v>9</v>
      </c>
    </row>
    <row r="16" spans="1:9" x14ac:dyDescent="0.25">
      <c r="G16" t="s">
        <v>198</v>
      </c>
    </row>
    <row r="17" spans="1:10" x14ac:dyDescent="0.25">
      <c r="G17" t="s">
        <v>199</v>
      </c>
    </row>
    <row r="18" spans="1:10" x14ac:dyDescent="0.25">
      <c r="G18">
        <v>1601</v>
      </c>
      <c r="H18">
        <v>29.18</v>
      </c>
      <c r="I18">
        <f>G18/H18/8</f>
        <v>6.8582933516106923</v>
      </c>
    </row>
    <row r="20" spans="1:10" x14ac:dyDescent="0.25">
      <c r="A20" t="s">
        <v>259</v>
      </c>
      <c r="B20">
        <v>2011</v>
      </c>
      <c r="E20" t="s">
        <v>154</v>
      </c>
      <c r="F20" t="s">
        <v>240</v>
      </c>
      <c r="G20" t="s">
        <v>255</v>
      </c>
    </row>
    <row r="21" spans="1:10" x14ac:dyDescent="0.25">
      <c r="G21" t="s">
        <v>257</v>
      </c>
    </row>
    <row r="22" spans="1:10" x14ac:dyDescent="0.25">
      <c r="G22" t="s">
        <v>260</v>
      </c>
    </row>
    <row r="23" spans="1:10" x14ac:dyDescent="0.25">
      <c r="G23" t="s">
        <v>251</v>
      </c>
      <c r="H23" t="s">
        <v>252</v>
      </c>
      <c r="I23" t="s">
        <v>253</v>
      </c>
      <c r="J23" t="s">
        <v>254</v>
      </c>
    </row>
    <row r="24" spans="1:10" x14ac:dyDescent="0.25">
      <c r="G24" t="s">
        <v>256</v>
      </c>
      <c r="H24">
        <v>3719</v>
      </c>
      <c r="I24">
        <v>2260</v>
      </c>
      <c r="J24">
        <v>1459</v>
      </c>
    </row>
    <row r="25" spans="1:10" x14ac:dyDescent="0.25">
      <c r="G25" t="s">
        <v>258</v>
      </c>
      <c r="H25">
        <v>4033</v>
      </c>
      <c r="I25">
        <v>2703</v>
      </c>
      <c r="J25">
        <v>1330</v>
      </c>
    </row>
    <row r="26" spans="1:10" x14ac:dyDescent="0.25">
      <c r="G26" t="s">
        <v>131</v>
      </c>
      <c r="H26">
        <f>AVERAGE(H24:H25)</f>
        <v>3876</v>
      </c>
      <c r="I26">
        <f t="shared" ref="I26:J26" si="0">AVERAGE(I24:I25)</f>
        <v>2481.5</v>
      </c>
      <c r="J26">
        <f t="shared" si="0"/>
        <v>1394.5</v>
      </c>
    </row>
    <row r="28" spans="1:10" x14ac:dyDescent="0.25">
      <c r="A28" t="s">
        <v>261</v>
      </c>
      <c r="B28">
        <v>2009</v>
      </c>
      <c r="D28" s="35">
        <v>26</v>
      </c>
      <c r="E28" t="s">
        <v>149</v>
      </c>
      <c r="F28" t="s">
        <v>262</v>
      </c>
      <c r="G28" t="s">
        <v>263</v>
      </c>
    </row>
    <row r="29" spans="1:10" x14ac:dyDescent="0.25">
      <c r="G29" s="34" t="s">
        <v>264</v>
      </c>
    </row>
    <row r="30" spans="1:10" x14ac:dyDescent="0.25">
      <c r="G30" t="s">
        <v>265</v>
      </c>
    </row>
    <row r="31" spans="1:10" x14ac:dyDescent="0.25">
      <c r="G31" t="s">
        <v>266</v>
      </c>
    </row>
    <row r="32" spans="1:10" x14ac:dyDescent="0.25">
      <c r="G32" s="40" t="s">
        <v>410</v>
      </c>
    </row>
    <row r="33" spans="1:10" s="40" customFormat="1" x14ac:dyDescent="0.25">
      <c r="C33" s="3"/>
      <c r="G33" s="35" t="s">
        <v>409</v>
      </c>
    </row>
    <row r="34" spans="1:10" s="38" customFormat="1" x14ac:dyDescent="0.25">
      <c r="C34" s="3"/>
      <c r="G34" s="34" t="s">
        <v>313</v>
      </c>
    </row>
    <row r="36" spans="1:10" x14ac:dyDescent="0.25">
      <c r="A36" t="s">
        <v>230</v>
      </c>
      <c r="B36">
        <v>1992</v>
      </c>
      <c r="D36">
        <v>20</v>
      </c>
      <c r="E36" t="s">
        <v>154</v>
      </c>
      <c r="F36" t="s">
        <v>148</v>
      </c>
      <c r="G36" t="s">
        <v>231</v>
      </c>
    </row>
    <row r="37" spans="1:10" x14ac:dyDescent="0.25">
      <c r="G37" t="s">
        <v>233</v>
      </c>
    </row>
    <row r="38" spans="1:10" x14ac:dyDescent="0.25">
      <c r="G38" t="s">
        <v>232</v>
      </c>
    </row>
    <row r="39" spans="1:10" x14ac:dyDescent="0.25">
      <c r="G39" s="34" t="s">
        <v>314</v>
      </c>
    </row>
    <row r="40" spans="1:10" x14ac:dyDescent="0.25">
      <c r="H40" t="s">
        <v>269</v>
      </c>
      <c r="I40" t="s">
        <v>270</v>
      </c>
      <c r="J40" t="s">
        <v>271</v>
      </c>
    </row>
    <row r="41" spans="1:10" x14ac:dyDescent="0.25">
      <c r="G41" t="s">
        <v>26</v>
      </c>
      <c r="H41">
        <v>3.4</v>
      </c>
      <c r="I41">
        <v>16.5</v>
      </c>
      <c r="J41">
        <v>8152</v>
      </c>
    </row>
    <row r="42" spans="1:10" x14ac:dyDescent="0.25">
      <c r="G42" t="s">
        <v>234</v>
      </c>
      <c r="H42">
        <v>11.46</v>
      </c>
      <c r="I42">
        <v>12.02</v>
      </c>
      <c r="J42">
        <v>3321</v>
      </c>
    </row>
    <row r="43" spans="1:10" x14ac:dyDescent="0.25">
      <c r="G43" t="s">
        <v>235</v>
      </c>
      <c r="H43">
        <v>11.22</v>
      </c>
      <c r="I43">
        <v>14.3</v>
      </c>
      <c r="J43">
        <v>1468</v>
      </c>
    </row>
    <row r="44" spans="1:10" x14ac:dyDescent="0.25">
      <c r="G44" t="s">
        <v>33</v>
      </c>
      <c r="H44">
        <v>7.04</v>
      </c>
      <c r="I44">
        <v>9.66</v>
      </c>
      <c r="J44">
        <v>3351</v>
      </c>
    </row>
    <row r="45" spans="1:10" x14ac:dyDescent="0.25">
      <c r="G45" t="s">
        <v>272</v>
      </c>
      <c r="H45">
        <v>13.81</v>
      </c>
      <c r="I45">
        <v>10.19</v>
      </c>
      <c r="J45">
        <v>816</v>
      </c>
    </row>
    <row r="46" spans="1:10" x14ac:dyDescent="0.25">
      <c r="G46" t="s">
        <v>42</v>
      </c>
      <c r="H46">
        <v>3.89</v>
      </c>
      <c r="I46">
        <v>10.02</v>
      </c>
      <c r="J46">
        <v>3483</v>
      </c>
    </row>
    <row r="47" spans="1:10" x14ac:dyDescent="0.25">
      <c r="G47" t="s">
        <v>273</v>
      </c>
      <c r="H47">
        <v>9.67</v>
      </c>
      <c r="I47">
        <v>15.31</v>
      </c>
      <c r="J47">
        <v>1386</v>
      </c>
    </row>
    <row r="48" spans="1:10" x14ac:dyDescent="0.25">
      <c r="J48">
        <f>SUMPRODUCT((H41:H47+I41:I47),J41:J47)/SUM(J41:J47)</f>
        <v>19.851742731036992</v>
      </c>
    </row>
    <row r="50" spans="1:7" ht="45" x14ac:dyDescent="0.25">
      <c r="A50" s="1" t="s">
        <v>370</v>
      </c>
      <c r="B50" s="53" t="s">
        <v>138</v>
      </c>
      <c r="C50" s="3">
        <v>38418</v>
      </c>
      <c r="E50" t="s">
        <v>154</v>
      </c>
      <c r="F50" t="s">
        <v>371</v>
      </c>
      <c r="G50" t="s">
        <v>372</v>
      </c>
    </row>
  </sheetData>
  <hyperlinks>
    <hyperlink ref="G2" r:id="rId1"/>
  </hyperlinks>
  <pageMargins left="0.7" right="0.7" top="0.75" bottom="0.75" header="0.3" footer="0.3"/>
  <pageSetup paperSize="9"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workbookViewId="0">
      <selection activeCell="L29" sqref="L29"/>
    </sheetView>
  </sheetViews>
  <sheetFormatPr defaultRowHeight="15" x14ac:dyDescent="0.25"/>
  <cols>
    <col min="1" max="1" width="20.28515625" customWidth="1"/>
    <col min="2" max="2" width="8.85546875" style="47"/>
    <col min="3" max="3" width="11.5703125" bestFit="1" customWidth="1"/>
    <col min="4" max="4" width="16.42578125" bestFit="1" customWidth="1"/>
    <col min="5" max="5" width="12.85546875" bestFit="1" customWidth="1"/>
    <col min="6" max="6" width="14.5703125" bestFit="1" customWidth="1"/>
    <col min="7" max="7" width="13.85546875" customWidth="1"/>
    <col min="10" max="10" width="17.7109375" bestFit="1" customWidth="1"/>
    <col min="12" max="12" width="17.7109375" bestFit="1" customWidth="1"/>
  </cols>
  <sheetData>
    <row r="1" spans="1:7" x14ac:dyDescent="0.25">
      <c r="A1" s="7" t="s">
        <v>92</v>
      </c>
      <c r="B1" s="46" t="s">
        <v>5</v>
      </c>
      <c r="C1" s="7" t="s">
        <v>119</v>
      </c>
      <c r="D1" s="7" t="s">
        <v>491</v>
      </c>
      <c r="E1" s="7" t="s">
        <v>139</v>
      </c>
      <c r="F1" s="7" t="s">
        <v>147</v>
      </c>
      <c r="G1" s="7" t="s">
        <v>93</v>
      </c>
    </row>
    <row r="2" spans="1:7" ht="30" x14ac:dyDescent="0.25">
      <c r="A2" t="s">
        <v>213</v>
      </c>
      <c r="B2" s="47">
        <v>2011</v>
      </c>
      <c r="C2" s="3">
        <v>19958</v>
      </c>
      <c r="E2" s="1" t="s">
        <v>297</v>
      </c>
      <c r="F2" t="s">
        <v>4</v>
      </c>
      <c r="G2" t="s">
        <v>192</v>
      </c>
    </row>
    <row r="3" spans="1:7" x14ac:dyDescent="0.25">
      <c r="G3" t="s">
        <v>194</v>
      </c>
    </row>
    <row r="4" spans="1:7" x14ac:dyDescent="0.25">
      <c r="G4" t="s">
        <v>212</v>
      </c>
    </row>
    <row r="5" spans="1:7" x14ac:dyDescent="0.25">
      <c r="G5" t="s">
        <v>211</v>
      </c>
    </row>
    <row r="6" spans="1:7" x14ac:dyDescent="0.25">
      <c r="G6" t="s">
        <v>193</v>
      </c>
    </row>
    <row r="7" spans="1:7" x14ac:dyDescent="0.25">
      <c r="G7" t="s">
        <v>195</v>
      </c>
    </row>
    <row r="9" spans="1:7" x14ac:dyDescent="0.25">
      <c r="G9" t="s">
        <v>423</v>
      </c>
    </row>
    <row r="10" spans="1:7" x14ac:dyDescent="0.25">
      <c r="G10" t="s">
        <v>387</v>
      </c>
    </row>
    <row r="11" spans="1:7" x14ac:dyDescent="0.25">
      <c r="G11" s="40" t="s">
        <v>388</v>
      </c>
    </row>
    <row r="12" spans="1:7" s="40" customFormat="1" x14ac:dyDescent="0.25">
      <c r="B12" s="47"/>
      <c r="G12" t="s">
        <v>389</v>
      </c>
    </row>
    <row r="13" spans="1:7" s="40" customFormat="1" x14ac:dyDescent="0.25">
      <c r="B13" s="47"/>
    </row>
    <row r="14" spans="1:7" x14ac:dyDescent="0.25">
      <c r="G14" t="s">
        <v>189</v>
      </c>
    </row>
    <row r="15" spans="1:7" x14ac:dyDescent="0.25">
      <c r="G15" t="s">
        <v>190</v>
      </c>
    </row>
    <row r="16" spans="1:7" x14ac:dyDescent="0.25">
      <c r="G16" t="s">
        <v>191</v>
      </c>
    </row>
    <row r="18" spans="1:14" s="40" customFormat="1" x14ac:dyDescent="0.25">
      <c r="A18" t="s">
        <v>157</v>
      </c>
      <c r="B18" s="47">
        <v>2010</v>
      </c>
      <c r="C18" s="3">
        <v>14000</v>
      </c>
      <c r="D18"/>
      <c r="E18" t="s">
        <v>3</v>
      </c>
      <c r="F18" t="s">
        <v>4</v>
      </c>
      <c r="G18" s="54" t="s">
        <v>434</v>
      </c>
    </row>
    <row r="19" spans="1:14" x14ac:dyDescent="0.25">
      <c r="G19" t="s">
        <v>196</v>
      </c>
    </row>
    <row r="20" spans="1:14" x14ac:dyDescent="0.25">
      <c r="G20" t="s">
        <v>197</v>
      </c>
    </row>
    <row r="22" spans="1:14" ht="30" x14ac:dyDescent="0.25">
      <c r="A22" s="1" t="s">
        <v>230</v>
      </c>
      <c r="B22" s="47">
        <v>1992</v>
      </c>
      <c r="C22" s="20">
        <f>I30</f>
        <v>10673.195876288661</v>
      </c>
      <c r="D22" s="35">
        <v>18</v>
      </c>
      <c r="E22" t="s">
        <v>154</v>
      </c>
      <c r="F22" t="s">
        <v>148</v>
      </c>
      <c r="G22" t="s">
        <v>231</v>
      </c>
    </row>
    <row r="23" spans="1:14" x14ac:dyDescent="0.25">
      <c r="G23" s="34" t="s">
        <v>233</v>
      </c>
    </row>
    <row r="24" spans="1:14" x14ac:dyDescent="0.25">
      <c r="G24" t="s">
        <v>232</v>
      </c>
    </row>
    <row r="25" spans="1:14" x14ac:dyDescent="0.25">
      <c r="G25" s="34" t="s">
        <v>424</v>
      </c>
    </row>
    <row r="26" spans="1:14" x14ac:dyDescent="0.25">
      <c r="G26" s="34" t="s">
        <v>274</v>
      </c>
      <c r="H26" t="s">
        <v>119</v>
      </c>
      <c r="I26" t="s">
        <v>74</v>
      </c>
    </row>
    <row r="27" spans="1:14" x14ac:dyDescent="0.25">
      <c r="G27" t="s">
        <v>26</v>
      </c>
      <c r="H27">
        <v>11000</v>
      </c>
      <c r="I27">
        <v>807</v>
      </c>
      <c r="L27" t="s">
        <v>267</v>
      </c>
      <c r="M27">
        <f>'Medical Inflation'!F4</f>
        <v>2.47723878598672</v>
      </c>
    </row>
    <row r="28" spans="1:14" x14ac:dyDescent="0.25">
      <c r="G28" t="s">
        <v>234</v>
      </c>
      <c r="H28">
        <v>13000</v>
      </c>
      <c r="I28">
        <v>141</v>
      </c>
      <c r="L28" t="s">
        <v>268</v>
      </c>
      <c r="M28">
        <v>1.1879999999999999</v>
      </c>
      <c r="N28" s="55" t="s">
        <v>435</v>
      </c>
    </row>
    <row r="29" spans="1:14" x14ac:dyDescent="0.25">
      <c r="G29" t="s">
        <v>235</v>
      </c>
      <c r="H29">
        <v>5700</v>
      </c>
      <c r="I29">
        <v>119</v>
      </c>
      <c r="L29" t="s">
        <v>515</v>
      </c>
      <c r="M29" s="35">
        <f>I30*M27/M28</f>
        <v>22255.938379777599</v>
      </c>
    </row>
    <row r="30" spans="1:14" x14ac:dyDescent="0.25">
      <c r="G30" t="s">
        <v>131</v>
      </c>
      <c r="I30">
        <f>SUMPRODUCT(H27:H29,I27:I29)/SUM(I27:I29)</f>
        <v>10673.195876288661</v>
      </c>
    </row>
    <row r="31" spans="1:14" s="40" customFormat="1" x14ac:dyDescent="0.25">
      <c r="B31" s="47"/>
      <c r="G31" s="34" t="s">
        <v>426</v>
      </c>
    </row>
    <row r="32" spans="1:14" s="40" customFormat="1" x14ac:dyDescent="0.25">
      <c r="B32" s="47"/>
      <c r="G32" s="34" t="s">
        <v>390</v>
      </c>
    </row>
    <row r="33" spans="2:10" x14ac:dyDescent="0.25">
      <c r="G33" s="34" t="s">
        <v>391</v>
      </c>
    </row>
    <row r="34" spans="2:10" s="40" customFormat="1" x14ac:dyDescent="0.25">
      <c r="B34" s="47"/>
      <c r="G34" s="34"/>
    </row>
    <row r="35" spans="2:10" x14ac:dyDescent="0.25">
      <c r="G35" s="34" t="s">
        <v>275</v>
      </c>
      <c r="H35" t="s">
        <v>269</v>
      </c>
      <c r="I35" t="s">
        <v>270</v>
      </c>
      <c r="J35" t="s">
        <v>271</v>
      </c>
    </row>
    <row r="36" spans="2:10" x14ac:dyDescent="0.25">
      <c r="G36" t="s">
        <v>26</v>
      </c>
      <c r="H36">
        <v>3.28</v>
      </c>
      <c r="I36">
        <v>15.81</v>
      </c>
      <c r="J36">
        <v>4584</v>
      </c>
    </row>
    <row r="37" spans="2:10" x14ac:dyDescent="0.25">
      <c r="G37" t="s">
        <v>234</v>
      </c>
      <c r="H37">
        <v>9.32</v>
      </c>
      <c r="I37">
        <v>10.09</v>
      </c>
      <c r="J37">
        <v>1142</v>
      </c>
    </row>
    <row r="38" spans="2:10" x14ac:dyDescent="0.25">
      <c r="G38" t="s">
        <v>235</v>
      </c>
      <c r="H38">
        <v>9.2799999999999994</v>
      </c>
      <c r="I38">
        <v>12.1</v>
      </c>
      <c r="J38">
        <v>662</v>
      </c>
    </row>
    <row r="39" spans="2:10" x14ac:dyDescent="0.25">
      <c r="G39" t="s">
        <v>33</v>
      </c>
      <c r="H39">
        <v>11.52</v>
      </c>
      <c r="I39">
        <v>10.51</v>
      </c>
      <c r="J39">
        <v>765</v>
      </c>
    </row>
    <row r="40" spans="2:10" x14ac:dyDescent="0.25">
      <c r="G40" t="s">
        <v>272</v>
      </c>
      <c r="H40">
        <v>8.19</v>
      </c>
      <c r="I40">
        <v>8.66</v>
      </c>
      <c r="J40">
        <v>286</v>
      </c>
    </row>
    <row r="41" spans="2:10" x14ac:dyDescent="0.25">
      <c r="G41" t="s">
        <v>42</v>
      </c>
      <c r="H41">
        <v>3.95</v>
      </c>
      <c r="I41">
        <v>9.56</v>
      </c>
      <c r="J41">
        <v>2109</v>
      </c>
    </row>
    <row r="42" spans="2:10" x14ac:dyDescent="0.25">
      <c r="G42" t="s">
        <v>273</v>
      </c>
      <c r="H42">
        <v>8.1300000000000008</v>
      </c>
      <c r="I42">
        <v>14.28</v>
      </c>
      <c r="J42">
        <v>379</v>
      </c>
    </row>
    <row r="43" spans="2:10" x14ac:dyDescent="0.25">
      <c r="J43">
        <f>SUMPRODUCT((H36:H42+I36:I42),J36:J42)/SUM(J36:J42)</f>
        <v>18.382831671199757</v>
      </c>
    </row>
    <row r="44" spans="2:10" x14ac:dyDescent="0.25">
      <c r="G44" s="34" t="s">
        <v>429</v>
      </c>
    </row>
    <row r="45" spans="2:10" x14ac:dyDescent="0.25">
      <c r="G45" s="34" t="s">
        <v>276</v>
      </c>
    </row>
  </sheetData>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C1" workbookViewId="0">
      <selection activeCell="H15" sqref="H15"/>
    </sheetView>
  </sheetViews>
  <sheetFormatPr defaultRowHeight="15" x14ac:dyDescent="0.25"/>
  <cols>
    <col min="1" max="1" width="9.28515625" bestFit="1" customWidth="1"/>
    <col min="2" max="2" width="9.7109375" bestFit="1" customWidth="1"/>
    <col min="3" max="3" width="11.5703125" bestFit="1" customWidth="1"/>
    <col min="4" max="4" width="16.42578125" bestFit="1" customWidth="1"/>
    <col min="5" max="5" width="12.85546875" bestFit="1" customWidth="1"/>
    <col min="6" max="6" width="14.5703125" bestFit="1" customWidth="1"/>
    <col min="7" max="7" width="39.5703125" customWidth="1"/>
    <col min="9" max="9" width="25.5703125" bestFit="1" customWidth="1"/>
    <col min="10" max="10" width="18.42578125" bestFit="1" customWidth="1"/>
  </cols>
  <sheetData>
    <row r="1" spans="1:10" x14ac:dyDescent="0.25">
      <c r="A1" s="7" t="s">
        <v>92</v>
      </c>
      <c r="B1" s="7" t="s">
        <v>5</v>
      </c>
      <c r="C1" s="7" t="s">
        <v>119</v>
      </c>
      <c r="D1" s="7" t="s">
        <v>491</v>
      </c>
      <c r="E1" s="7" t="s">
        <v>139</v>
      </c>
      <c r="F1" s="7" t="s">
        <v>147</v>
      </c>
      <c r="G1" s="7" t="s">
        <v>93</v>
      </c>
    </row>
    <row r="2" spans="1:10" x14ac:dyDescent="0.25">
      <c r="A2" t="s">
        <v>163</v>
      </c>
      <c r="B2" t="s">
        <v>488</v>
      </c>
      <c r="C2" s="20">
        <v>40671</v>
      </c>
      <c r="E2" t="s">
        <v>149</v>
      </c>
      <c r="F2" t="s">
        <v>4</v>
      </c>
      <c r="G2" s="54" t="s">
        <v>487</v>
      </c>
    </row>
    <row r="3" spans="1:10" s="40" customFormat="1" x14ac:dyDescent="0.25">
      <c r="C3" s="20"/>
      <c r="G3" s="54" t="s">
        <v>486</v>
      </c>
    </row>
    <row r="4" spans="1:10" x14ac:dyDescent="0.25">
      <c r="G4" t="s">
        <v>168</v>
      </c>
      <c r="H4" t="s">
        <v>119</v>
      </c>
      <c r="I4" t="s">
        <v>165</v>
      </c>
      <c r="J4" t="s">
        <v>166</v>
      </c>
    </row>
    <row r="5" spans="1:10" x14ac:dyDescent="0.25">
      <c r="G5" t="s">
        <v>167</v>
      </c>
      <c r="H5">
        <v>34087</v>
      </c>
      <c r="I5">
        <v>6048</v>
      </c>
      <c r="J5">
        <v>9826</v>
      </c>
    </row>
    <row r="6" spans="1:10" x14ac:dyDescent="0.25">
      <c r="G6" t="s">
        <v>214</v>
      </c>
      <c r="H6">
        <v>52673</v>
      </c>
      <c r="I6">
        <v>9221</v>
      </c>
      <c r="J6">
        <v>9460</v>
      </c>
    </row>
    <row r="7" spans="1:10" x14ac:dyDescent="0.25">
      <c r="G7" t="s">
        <v>164</v>
      </c>
      <c r="H7">
        <v>86914</v>
      </c>
      <c r="I7">
        <v>17335</v>
      </c>
      <c r="J7">
        <v>14960</v>
      </c>
    </row>
    <row r="8" spans="1:10" x14ac:dyDescent="0.25">
      <c r="G8" t="s">
        <v>131</v>
      </c>
      <c r="H8">
        <f>AVERAGE(H5:H7)</f>
        <v>57891.333333333336</v>
      </c>
      <c r="I8">
        <f t="shared" ref="I8:J8" si="0">AVERAGE(I5:I7)</f>
        <v>10868</v>
      </c>
      <c r="J8">
        <f t="shared" si="0"/>
        <v>11415.333333333334</v>
      </c>
    </row>
    <row r="9" spans="1:10" x14ac:dyDescent="0.25">
      <c r="G9" t="s">
        <v>246</v>
      </c>
    </row>
    <row r="11" spans="1:10" x14ac:dyDescent="0.25">
      <c r="G11" s="54" t="s">
        <v>441</v>
      </c>
    </row>
    <row r="12" spans="1:10" x14ac:dyDescent="0.25">
      <c r="G12" t="s">
        <v>169</v>
      </c>
    </row>
    <row r="13" spans="1:10" x14ac:dyDescent="0.25">
      <c r="G13" t="s">
        <v>170</v>
      </c>
    </row>
    <row r="14" spans="1:10" x14ac:dyDescent="0.25">
      <c r="G14" t="s">
        <v>185</v>
      </c>
    </row>
    <row r="15" spans="1:10" s="40" customFormat="1" x14ac:dyDescent="0.25">
      <c r="G15" s="40" t="s">
        <v>406</v>
      </c>
      <c r="H15" s="35">
        <f>40671*'Medical Inflation'!G17</f>
        <v>59531.338753279641</v>
      </c>
    </row>
    <row r="17" spans="1:7" x14ac:dyDescent="0.25">
      <c r="A17" t="s">
        <v>162</v>
      </c>
      <c r="B17">
        <v>2009</v>
      </c>
      <c r="D17" s="35">
        <v>60</v>
      </c>
      <c r="E17" t="s">
        <v>149</v>
      </c>
      <c r="F17" t="s">
        <v>140</v>
      </c>
      <c r="G17" t="s">
        <v>186</v>
      </c>
    </row>
    <row r="18" spans="1:7" x14ac:dyDescent="0.25">
      <c r="G18" t="s">
        <v>187</v>
      </c>
    </row>
    <row r="19" spans="1:7" x14ac:dyDescent="0.25">
      <c r="G19" t="s">
        <v>188</v>
      </c>
    </row>
    <row r="20" spans="1:7" x14ac:dyDescent="0.25">
      <c r="G20" t="s">
        <v>8</v>
      </c>
    </row>
    <row r="22" spans="1:7" x14ac:dyDescent="0.25">
      <c r="A22" t="s">
        <v>163</v>
      </c>
      <c r="B22">
        <v>2011</v>
      </c>
      <c r="E22" t="s">
        <v>149</v>
      </c>
      <c r="F22" t="s">
        <v>240</v>
      </c>
      <c r="G22" t="s">
        <v>481</v>
      </c>
    </row>
    <row r="23" spans="1:7" x14ac:dyDescent="0.25">
      <c r="G23" t="s">
        <v>241</v>
      </c>
    </row>
    <row r="24" spans="1:7" x14ac:dyDescent="0.25">
      <c r="G24" t="s">
        <v>242</v>
      </c>
    </row>
    <row r="26" spans="1:7" x14ac:dyDescent="0.25">
      <c r="A26" t="s">
        <v>479</v>
      </c>
      <c r="B26">
        <v>2011</v>
      </c>
      <c r="C26">
        <v>72000</v>
      </c>
      <c r="E26" t="s">
        <v>3</v>
      </c>
      <c r="F26" t="s">
        <v>4</v>
      </c>
      <c r="G26" t="s">
        <v>480</v>
      </c>
    </row>
    <row r="27" spans="1:7" x14ac:dyDescent="0.25">
      <c r="G27" t="s">
        <v>490</v>
      </c>
    </row>
  </sheetData>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D9" sqref="D9"/>
    </sheetView>
  </sheetViews>
  <sheetFormatPr defaultRowHeight="15" x14ac:dyDescent="0.25"/>
  <cols>
    <col min="1" max="1" width="25" bestFit="1" customWidth="1"/>
    <col min="2" max="2" width="9.7109375" bestFit="1" customWidth="1"/>
    <col min="3" max="3" width="12.5703125" bestFit="1" customWidth="1"/>
    <col min="4" max="4" width="16.42578125" bestFit="1" customWidth="1"/>
    <col min="5" max="5" width="12.85546875" bestFit="1" customWidth="1"/>
    <col min="6" max="6" width="27" bestFit="1" customWidth="1"/>
    <col min="7" max="7" width="23.140625" customWidth="1"/>
    <col min="8" max="8" width="25.5703125" bestFit="1" customWidth="1"/>
    <col min="9" max="9" width="18.42578125" bestFit="1" customWidth="1"/>
  </cols>
  <sheetData>
    <row r="1" spans="1:9" x14ac:dyDescent="0.25">
      <c r="A1" s="7" t="s">
        <v>92</v>
      </c>
      <c r="B1" s="7" t="s">
        <v>5</v>
      </c>
      <c r="C1" s="7" t="s">
        <v>119</v>
      </c>
      <c r="D1" s="7" t="s">
        <v>491</v>
      </c>
      <c r="E1" s="7" t="s">
        <v>139</v>
      </c>
      <c r="F1" s="7" t="s">
        <v>147</v>
      </c>
      <c r="G1" s="7" t="s">
        <v>93</v>
      </c>
    </row>
    <row r="2" spans="1:9" x14ac:dyDescent="0.25">
      <c r="A2" t="s">
        <v>163</v>
      </c>
      <c r="B2">
        <v>2012</v>
      </c>
      <c r="C2" s="3">
        <v>149480</v>
      </c>
      <c r="E2" t="s">
        <v>149</v>
      </c>
      <c r="F2" t="s">
        <v>178</v>
      </c>
      <c r="G2" t="s">
        <v>179</v>
      </c>
    </row>
    <row r="3" spans="1:9" x14ac:dyDescent="0.25">
      <c r="F3" t="s">
        <v>239</v>
      </c>
      <c r="G3" t="s">
        <v>215</v>
      </c>
    </row>
    <row r="4" spans="1:9" x14ac:dyDescent="0.25">
      <c r="G4" t="s">
        <v>180</v>
      </c>
    </row>
    <row r="5" spans="1:9" x14ac:dyDescent="0.25">
      <c r="G5" t="s">
        <v>181</v>
      </c>
    </row>
    <row r="6" spans="1:9" x14ac:dyDescent="0.25">
      <c r="G6" t="s">
        <v>244</v>
      </c>
    </row>
    <row r="7" spans="1:9" x14ac:dyDescent="0.25">
      <c r="G7" t="s">
        <v>243</v>
      </c>
    </row>
    <row r="9" spans="1:9" x14ac:dyDescent="0.25">
      <c r="A9" t="s">
        <v>182</v>
      </c>
      <c r="B9">
        <v>2015</v>
      </c>
      <c r="D9" s="35">
        <v>40</v>
      </c>
      <c r="E9" t="s">
        <v>154</v>
      </c>
      <c r="G9" t="s">
        <v>183</v>
      </c>
    </row>
    <row r="10" spans="1:9" x14ac:dyDescent="0.25">
      <c r="G10" t="s">
        <v>184</v>
      </c>
    </row>
    <row r="12" spans="1:9" x14ac:dyDescent="0.25">
      <c r="A12" t="s">
        <v>163</v>
      </c>
      <c r="B12" t="s">
        <v>489</v>
      </c>
      <c r="C12" s="36">
        <f>G19</f>
        <v>65185.5</v>
      </c>
      <c r="E12" t="s">
        <v>149</v>
      </c>
      <c r="F12" t="s">
        <v>4</v>
      </c>
      <c r="G12" t="s">
        <v>308</v>
      </c>
    </row>
    <row r="13" spans="1:9" s="40" customFormat="1" x14ac:dyDescent="0.25">
      <c r="C13" s="36"/>
      <c r="G13" s="40" t="s">
        <v>486</v>
      </c>
    </row>
    <row r="14" spans="1:9" x14ac:dyDescent="0.25">
      <c r="G14" t="s">
        <v>119</v>
      </c>
      <c r="H14" t="s">
        <v>165</v>
      </c>
      <c r="I14" t="s">
        <v>166</v>
      </c>
    </row>
    <row r="15" spans="1:9" x14ac:dyDescent="0.25">
      <c r="G15">
        <v>86914</v>
      </c>
      <c r="H15">
        <v>17335</v>
      </c>
      <c r="I15">
        <v>14960</v>
      </c>
    </row>
    <row r="16" spans="1:9" x14ac:dyDescent="0.25">
      <c r="G16" t="s">
        <v>245</v>
      </c>
    </row>
    <row r="17" spans="1:8" x14ac:dyDescent="0.25">
      <c r="G17" s="34" t="s">
        <v>319</v>
      </c>
    </row>
    <row r="18" spans="1:8" x14ac:dyDescent="0.25">
      <c r="G18" s="34" t="s">
        <v>493</v>
      </c>
    </row>
    <row r="19" spans="1:8" x14ac:dyDescent="0.25">
      <c r="G19">
        <f>G15*0.75</f>
        <v>65185.5</v>
      </c>
    </row>
    <row r="20" spans="1:8" x14ac:dyDescent="0.25">
      <c r="G20" t="s">
        <v>406</v>
      </c>
      <c r="H20" s="35">
        <f>G19*'Medical Inflation'!G17</f>
        <v>95413.933326004029</v>
      </c>
    </row>
    <row r="21" spans="1:8" s="40" customFormat="1" x14ac:dyDescent="0.25"/>
    <row r="22" spans="1:8" x14ac:dyDescent="0.25">
      <c r="A22" t="s">
        <v>157</v>
      </c>
      <c r="B22">
        <v>2010</v>
      </c>
      <c r="C22">
        <v>72000</v>
      </c>
      <c r="E22" t="s">
        <v>3</v>
      </c>
      <c r="F22" t="s">
        <v>373</v>
      </c>
      <c r="G22" t="s">
        <v>492</v>
      </c>
    </row>
    <row r="23" spans="1:8" x14ac:dyDescent="0.25">
      <c r="G23" t="s">
        <v>375</v>
      </c>
    </row>
    <row r="24" spans="1:8" x14ac:dyDescent="0.25">
      <c r="G24" t="s">
        <v>374</v>
      </c>
    </row>
  </sheetData>
  <pageMargins left="0.7" right="0.7" top="0.75" bottom="0.75" header="0.3" footer="0.3"/>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topLeftCell="A22" workbookViewId="0">
      <selection activeCell="D13" sqref="D13"/>
    </sheetView>
  </sheetViews>
  <sheetFormatPr defaultRowHeight="15" x14ac:dyDescent="0.25"/>
  <cols>
    <col min="1" max="1" width="18.5703125" customWidth="1"/>
    <col min="2" max="2" width="10.5703125" customWidth="1"/>
    <col min="3" max="3" width="11.5703125" bestFit="1" customWidth="1"/>
    <col min="5" max="5" width="12.85546875" bestFit="1" customWidth="1"/>
    <col min="6" max="6" width="20.140625" bestFit="1" customWidth="1"/>
    <col min="7" max="7" width="17.140625" customWidth="1"/>
    <col min="8" max="8" width="13.7109375" customWidth="1"/>
    <col min="9" max="9" width="14" bestFit="1" customWidth="1"/>
    <col min="10" max="10" width="15.28515625" bestFit="1" customWidth="1"/>
    <col min="11" max="11" width="13.140625" bestFit="1" customWidth="1"/>
    <col min="16" max="16" width="10" bestFit="1" customWidth="1"/>
  </cols>
  <sheetData>
    <row r="1" spans="1:10" x14ac:dyDescent="0.25">
      <c r="A1" s="7" t="s">
        <v>92</v>
      </c>
      <c r="B1" s="7" t="s">
        <v>5</v>
      </c>
      <c r="C1" s="7" t="s">
        <v>119</v>
      </c>
      <c r="D1" s="7" t="s">
        <v>491</v>
      </c>
      <c r="E1" s="7" t="s">
        <v>139</v>
      </c>
      <c r="F1" s="7" t="s">
        <v>147</v>
      </c>
      <c r="G1" s="7" t="s">
        <v>93</v>
      </c>
    </row>
    <row r="2" spans="1:10" x14ac:dyDescent="0.25">
      <c r="A2" t="s">
        <v>281</v>
      </c>
      <c r="B2" t="s">
        <v>160</v>
      </c>
      <c r="C2" s="3">
        <v>13019</v>
      </c>
      <c r="E2" t="s">
        <v>149</v>
      </c>
      <c r="F2" t="s">
        <v>158</v>
      </c>
      <c r="G2" t="s">
        <v>159</v>
      </c>
    </row>
    <row r="3" spans="1:10" x14ac:dyDescent="0.25">
      <c r="C3" s="3">
        <v>20346</v>
      </c>
      <c r="E3" t="s">
        <v>149</v>
      </c>
      <c r="F3" t="s">
        <v>158</v>
      </c>
      <c r="G3" t="s">
        <v>161</v>
      </c>
    </row>
    <row r="5" spans="1:10" x14ac:dyDescent="0.25">
      <c r="A5" t="s">
        <v>200</v>
      </c>
      <c r="B5">
        <v>2005</v>
      </c>
      <c r="C5" s="5">
        <f>H9</f>
        <v>11359.064994298746</v>
      </c>
      <c r="F5" t="s">
        <v>141</v>
      </c>
      <c r="G5" s="32" t="s">
        <v>23</v>
      </c>
    </row>
    <row r="6" spans="1:10" x14ac:dyDescent="0.25">
      <c r="H6" t="s">
        <v>119</v>
      </c>
      <c r="I6" t="s">
        <v>280</v>
      </c>
      <c r="J6" t="s">
        <v>277</v>
      </c>
    </row>
    <row r="7" spans="1:10" x14ac:dyDescent="0.25">
      <c r="G7" t="s">
        <v>279</v>
      </c>
      <c r="H7">
        <v>9100</v>
      </c>
      <c r="I7">
        <v>5.6</v>
      </c>
      <c r="J7">
        <v>411900</v>
      </c>
    </row>
    <row r="8" spans="1:10" x14ac:dyDescent="0.25">
      <c r="G8" t="s">
        <v>278</v>
      </c>
      <c r="H8">
        <v>19500</v>
      </c>
      <c r="I8">
        <v>8.4</v>
      </c>
      <c r="J8">
        <v>114300</v>
      </c>
    </row>
    <row r="9" spans="1:10" x14ac:dyDescent="0.25">
      <c r="G9" t="s">
        <v>131</v>
      </c>
      <c r="H9">
        <f>SUMPRODUCT(H7:H8,J7:J8)/SUM(J7:J8)</f>
        <v>11359.064994298746</v>
      </c>
    </row>
    <row r="10" spans="1:10" x14ac:dyDescent="0.25">
      <c r="G10" s="34" t="s">
        <v>303</v>
      </c>
    </row>
    <row r="11" spans="1:10" x14ac:dyDescent="0.25">
      <c r="H11" s="5"/>
    </row>
    <row r="12" spans="1:10" x14ac:dyDescent="0.25">
      <c r="A12" t="s">
        <v>162</v>
      </c>
      <c r="D12" s="35">
        <v>125</v>
      </c>
      <c r="E12" t="s">
        <v>149</v>
      </c>
      <c r="F12" t="s">
        <v>4</v>
      </c>
      <c r="G12" t="s">
        <v>282</v>
      </c>
      <c r="H12" s="5"/>
    </row>
    <row r="13" spans="1:10" x14ac:dyDescent="0.25">
      <c r="G13" t="s">
        <v>284</v>
      </c>
      <c r="H13" s="5"/>
    </row>
    <row r="14" spans="1:10" x14ac:dyDescent="0.25">
      <c r="G14" t="s">
        <v>283</v>
      </c>
    </row>
    <row r="15" spans="1:10" x14ac:dyDescent="0.25">
      <c r="G15" s="34" t="s">
        <v>503</v>
      </c>
    </row>
    <row r="17" spans="1:18" ht="30" x14ac:dyDescent="0.25">
      <c r="A17" s="1" t="s">
        <v>309</v>
      </c>
      <c r="E17" t="s">
        <v>3</v>
      </c>
      <c r="G17" t="s">
        <v>311</v>
      </c>
    </row>
    <row r="18" spans="1:18" s="37" customFormat="1" x14ac:dyDescent="0.25">
      <c r="G18" s="34" t="s">
        <v>285</v>
      </c>
    </row>
    <row r="19" spans="1:18" x14ac:dyDescent="0.25">
      <c r="G19" s="34" t="s">
        <v>286</v>
      </c>
    </row>
    <row r="21" spans="1:18" ht="45" x14ac:dyDescent="0.25">
      <c r="A21" s="1" t="s">
        <v>287</v>
      </c>
      <c r="E21" t="s">
        <v>149</v>
      </c>
      <c r="G21" s="6" t="s">
        <v>288</v>
      </c>
      <c r="H21" s="1"/>
    </row>
    <row r="22" spans="1:18" x14ac:dyDescent="0.25">
      <c r="G22" s="34" t="s">
        <v>289</v>
      </c>
    </row>
    <row r="23" spans="1:18" x14ac:dyDescent="0.25">
      <c r="G23" s="34" t="s">
        <v>290</v>
      </c>
    </row>
    <row r="25" spans="1:18" ht="30" x14ac:dyDescent="0.25">
      <c r="A25" s="1" t="s">
        <v>376</v>
      </c>
      <c r="B25" s="54" t="s">
        <v>138</v>
      </c>
      <c r="C25" s="40">
        <v>33283</v>
      </c>
      <c r="E25" t="s">
        <v>154</v>
      </c>
      <c r="F25" t="s">
        <v>150</v>
      </c>
      <c r="G25" s="38" t="s">
        <v>107</v>
      </c>
    </row>
    <row r="26" spans="1:18" x14ac:dyDescent="0.25">
      <c r="G26" t="s">
        <v>406</v>
      </c>
      <c r="H26" s="40">
        <f>C25*'Medical Inflation'!F25</f>
        <v>35942.095927439994</v>
      </c>
    </row>
    <row r="28" spans="1:18" x14ac:dyDescent="0.25">
      <c r="A28" t="s">
        <v>162</v>
      </c>
      <c r="B28">
        <v>1990</v>
      </c>
      <c r="C28" s="35">
        <f>Q37</f>
        <v>18001.795495067159</v>
      </c>
      <c r="E28" t="s">
        <v>149</v>
      </c>
      <c r="F28" t="s">
        <v>373</v>
      </c>
      <c r="G28" s="40" t="s">
        <v>469</v>
      </c>
    </row>
    <row r="29" spans="1:18" ht="15.75" customHeight="1" x14ac:dyDescent="0.25">
      <c r="G29" s="57" t="s">
        <v>471</v>
      </c>
      <c r="N29" s="40"/>
      <c r="O29" s="40" t="s">
        <v>465</v>
      </c>
      <c r="P29" s="40"/>
      <c r="Q29" s="40"/>
      <c r="R29" s="40"/>
    </row>
    <row r="30" spans="1:18" x14ac:dyDescent="0.25">
      <c r="G30" t="s">
        <v>450</v>
      </c>
      <c r="H30" t="s">
        <v>451</v>
      </c>
      <c r="I30" t="s">
        <v>452</v>
      </c>
      <c r="J30" t="s">
        <v>453</v>
      </c>
      <c r="K30" t="s">
        <v>454</v>
      </c>
      <c r="L30" t="s">
        <v>106</v>
      </c>
      <c r="N30" s="40" t="s">
        <v>450</v>
      </c>
      <c r="O30" s="40" t="s">
        <v>462</v>
      </c>
      <c r="P30" s="40" t="s">
        <v>464</v>
      </c>
      <c r="Q30" s="40" t="s">
        <v>455</v>
      </c>
      <c r="R30" s="40"/>
    </row>
    <row r="31" spans="1:18" x14ac:dyDescent="0.25">
      <c r="G31" t="s">
        <v>455</v>
      </c>
      <c r="N31" s="40" t="s">
        <v>466</v>
      </c>
      <c r="O31" s="40"/>
      <c r="P31" s="40"/>
      <c r="Q31" s="40"/>
      <c r="R31" s="40"/>
    </row>
    <row r="32" spans="1:18" x14ac:dyDescent="0.25">
      <c r="G32" t="s">
        <v>456</v>
      </c>
      <c r="H32">
        <v>5</v>
      </c>
      <c r="I32">
        <v>7</v>
      </c>
      <c r="J32">
        <v>11</v>
      </c>
      <c r="K32">
        <v>15</v>
      </c>
      <c r="N32" s="40" t="s">
        <v>467</v>
      </c>
      <c r="O32" s="56">
        <v>41494</v>
      </c>
      <c r="P32" s="56">
        <v>29662</v>
      </c>
      <c r="Q32" s="56">
        <v>20574</v>
      </c>
      <c r="R32" s="56"/>
    </row>
    <row r="33" spans="7:18" x14ac:dyDescent="0.25">
      <c r="G33" t="s">
        <v>457</v>
      </c>
      <c r="H33">
        <v>62</v>
      </c>
      <c r="I33">
        <v>33</v>
      </c>
      <c r="J33">
        <v>124</v>
      </c>
      <c r="K33">
        <v>66</v>
      </c>
      <c r="N33" s="40" t="s">
        <v>459</v>
      </c>
      <c r="O33" s="56">
        <v>38848</v>
      </c>
      <c r="P33" s="56">
        <v>21663</v>
      </c>
      <c r="Q33" s="56">
        <v>17823</v>
      </c>
      <c r="R33" s="56"/>
    </row>
    <row r="34" spans="7:18" x14ac:dyDescent="0.25">
      <c r="G34" t="s">
        <v>458</v>
      </c>
      <c r="H34">
        <v>224</v>
      </c>
      <c r="I34">
        <v>85</v>
      </c>
      <c r="J34">
        <v>448</v>
      </c>
      <c r="K34">
        <v>169</v>
      </c>
      <c r="L34">
        <f>SUM(H32:K34)</f>
        <v>1249</v>
      </c>
      <c r="N34" s="40" t="s">
        <v>460</v>
      </c>
      <c r="O34" s="56">
        <v>30371</v>
      </c>
      <c r="P34" s="56">
        <v>18705</v>
      </c>
      <c r="Q34" s="56">
        <v>17847</v>
      </c>
      <c r="R34" s="56"/>
    </row>
    <row r="35" spans="7:18" x14ac:dyDescent="0.25">
      <c r="G35" t="s">
        <v>459</v>
      </c>
      <c r="H35">
        <v>632</v>
      </c>
      <c r="I35">
        <v>326</v>
      </c>
      <c r="J35">
        <v>1075</v>
      </c>
      <c r="K35">
        <v>652</v>
      </c>
      <c r="L35">
        <f>SUM(H35:K35)</f>
        <v>2685</v>
      </c>
      <c r="N35" s="40" t="s">
        <v>468</v>
      </c>
      <c r="O35" s="56">
        <v>15714</v>
      </c>
      <c r="P35" s="56">
        <v>16791</v>
      </c>
      <c r="Q35" s="56">
        <v>15102</v>
      </c>
      <c r="R35" s="56"/>
    </row>
    <row r="36" spans="7:18" x14ac:dyDescent="0.25">
      <c r="G36" t="s">
        <v>460</v>
      </c>
      <c r="H36">
        <v>1259</v>
      </c>
      <c r="I36">
        <v>796</v>
      </c>
      <c r="J36">
        <v>1259</v>
      </c>
      <c r="K36">
        <v>796</v>
      </c>
      <c r="L36" s="40">
        <f t="shared" ref="L36:L51" si="0">SUM(H36:K36)</f>
        <v>4110</v>
      </c>
      <c r="N36" t="s">
        <v>91</v>
      </c>
      <c r="O36">
        <f>SUMPRODUCT(O32:O35,L41:L44)</f>
        <v>22946401</v>
      </c>
      <c r="P36" s="40">
        <f>SUMPRODUCT(P32:P35,L48:L51)</f>
        <v>39054111</v>
      </c>
      <c r="Q36" s="40">
        <f>SUMPRODUCT(Q32:Q35,L34:L37)</f>
        <v>240897699</v>
      </c>
      <c r="R36" s="40"/>
    </row>
    <row r="37" spans="7:18" x14ac:dyDescent="0.25">
      <c r="G37" t="s">
        <v>461</v>
      </c>
      <c r="H37">
        <v>1613</v>
      </c>
      <c r="I37">
        <v>1499</v>
      </c>
      <c r="J37">
        <v>1613</v>
      </c>
      <c r="K37">
        <v>1499</v>
      </c>
      <c r="L37" s="40">
        <f t="shared" si="0"/>
        <v>6224</v>
      </c>
      <c r="N37" t="s">
        <v>131</v>
      </c>
      <c r="Q37">
        <f>SUM(O36:Q36)/SUM(L34:L51)</f>
        <v>18001.795495067159</v>
      </c>
    </row>
    <row r="38" spans="7:18" x14ac:dyDescent="0.25">
      <c r="G38" t="s">
        <v>462</v>
      </c>
      <c r="L38" s="40"/>
    </row>
    <row r="39" spans="7:18" x14ac:dyDescent="0.25">
      <c r="G39" t="s">
        <v>463</v>
      </c>
      <c r="H39">
        <v>5</v>
      </c>
      <c r="I39">
        <v>9</v>
      </c>
      <c r="J39">
        <v>11</v>
      </c>
      <c r="K39">
        <v>18</v>
      </c>
      <c r="L39" s="40"/>
      <c r="N39" t="s">
        <v>470</v>
      </c>
      <c r="Q39" s="35">
        <f>Q37*'Medical Inflation'!F2</f>
        <v>52459.991337193838</v>
      </c>
    </row>
    <row r="40" spans="7:18" x14ac:dyDescent="0.25">
      <c r="G40" t="s">
        <v>457</v>
      </c>
      <c r="H40">
        <v>12</v>
      </c>
      <c r="I40">
        <v>20</v>
      </c>
      <c r="J40">
        <v>26</v>
      </c>
      <c r="K40">
        <v>41</v>
      </c>
      <c r="L40" s="40"/>
    </row>
    <row r="41" spans="7:18" x14ac:dyDescent="0.25">
      <c r="G41" t="s">
        <v>458</v>
      </c>
      <c r="H41">
        <v>16</v>
      </c>
      <c r="I41">
        <v>26</v>
      </c>
      <c r="J41">
        <v>34</v>
      </c>
      <c r="K41">
        <v>54</v>
      </c>
      <c r="L41" s="40">
        <f>SUM(H39:K41)</f>
        <v>272</v>
      </c>
    </row>
    <row r="42" spans="7:18" x14ac:dyDescent="0.25">
      <c r="G42" t="s">
        <v>459</v>
      </c>
      <c r="H42">
        <v>17</v>
      </c>
      <c r="I42">
        <v>28</v>
      </c>
      <c r="J42">
        <v>36</v>
      </c>
      <c r="K42">
        <v>58</v>
      </c>
      <c r="L42" s="40">
        <f t="shared" si="0"/>
        <v>139</v>
      </c>
    </row>
    <row r="43" spans="7:18" x14ac:dyDescent="0.25">
      <c r="G43" t="s">
        <v>460</v>
      </c>
      <c r="H43">
        <v>18</v>
      </c>
      <c r="I43">
        <v>28</v>
      </c>
      <c r="J43">
        <v>37</v>
      </c>
      <c r="K43">
        <v>60</v>
      </c>
      <c r="L43" s="40">
        <f t="shared" si="0"/>
        <v>143</v>
      </c>
    </row>
    <row r="44" spans="7:18" x14ac:dyDescent="0.25">
      <c r="G44" t="s">
        <v>461</v>
      </c>
      <c r="H44">
        <v>15</v>
      </c>
      <c r="I44">
        <v>24</v>
      </c>
      <c r="J44">
        <v>32</v>
      </c>
      <c r="K44">
        <v>51</v>
      </c>
      <c r="L44" s="40">
        <f t="shared" si="0"/>
        <v>122</v>
      </c>
    </row>
    <row r="45" spans="7:18" x14ac:dyDescent="0.25">
      <c r="G45" t="s">
        <v>464</v>
      </c>
      <c r="L45" s="40"/>
    </row>
    <row r="46" spans="7:18" x14ac:dyDescent="0.25">
      <c r="G46" t="s">
        <v>456</v>
      </c>
      <c r="H46">
        <v>2</v>
      </c>
      <c r="I46">
        <v>2</v>
      </c>
      <c r="J46">
        <v>8</v>
      </c>
      <c r="K46">
        <v>7</v>
      </c>
      <c r="L46" s="40"/>
    </row>
    <row r="47" spans="7:18" x14ac:dyDescent="0.25">
      <c r="G47" t="s">
        <v>457</v>
      </c>
      <c r="H47">
        <v>10</v>
      </c>
      <c r="I47">
        <v>9</v>
      </c>
      <c r="J47">
        <v>36</v>
      </c>
      <c r="K47">
        <v>33</v>
      </c>
      <c r="L47" s="40"/>
    </row>
    <row r="48" spans="7:18" x14ac:dyDescent="0.25">
      <c r="G48" t="s">
        <v>458</v>
      </c>
      <c r="H48">
        <v>27</v>
      </c>
      <c r="I48">
        <v>24</v>
      </c>
      <c r="J48">
        <v>101</v>
      </c>
      <c r="K48">
        <v>92</v>
      </c>
      <c r="L48" s="40">
        <f>SUM(H46:K48)</f>
        <v>351</v>
      </c>
    </row>
    <row r="49" spans="1:12" x14ac:dyDescent="0.25">
      <c r="G49" t="s">
        <v>459</v>
      </c>
      <c r="H49">
        <v>71</v>
      </c>
      <c r="I49">
        <v>65</v>
      </c>
      <c r="J49">
        <v>129</v>
      </c>
      <c r="K49">
        <v>116</v>
      </c>
      <c r="L49" s="40">
        <f t="shared" si="0"/>
        <v>381</v>
      </c>
    </row>
    <row r="50" spans="1:12" x14ac:dyDescent="0.25">
      <c r="G50" t="s">
        <v>460</v>
      </c>
      <c r="H50">
        <v>148</v>
      </c>
      <c r="I50">
        <v>134</v>
      </c>
      <c r="J50">
        <v>148</v>
      </c>
      <c r="K50">
        <v>134</v>
      </c>
      <c r="L50" s="40">
        <f t="shared" si="0"/>
        <v>564</v>
      </c>
    </row>
    <row r="51" spans="1:12" x14ac:dyDescent="0.25">
      <c r="G51" t="s">
        <v>461</v>
      </c>
      <c r="H51">
        <v>154</v>
      </c>
      <c r="I51">
        <v>139</v>
      </c>
      <c r="J51">
        <v>154</v>
      </c>
      <c r="K51">
        <v>139</v>
      </c>
      <c r="L51" s="40">
        <f t="shared" si="0"/>
        <v>586</v>
      </c>
    </row>
    <row r="53" spans="1:12" x14ac:dyDescent="0.25">
      <c r="G53" s="34" t="s">
        <v>472</v>
      </c>
    </row>
    <row r="55" spans="1:12" x14ac:dyDescent="0.25">
      <c r="A55" t="s">
        <v>473</v>
      </c>
      <c r="B55">
        <v>2010</v>
      </c>
      <c r="C55">
        <v>61000</v>
      </c>
      <c r="E55" t="s">
        <v>3</v>
      </c>
      <c r="F55" t="s">
        <v>373</v>
      </c>
      <c r="G55" s="54" t="s">
        <v>434</v>
      </c>
    </row>
    <row r="56" spans="1:12" s="40" customFormat="1" x14ac:dyDescent="0.25">
      <c r="G56" s="54" t="s">
        <v>476</v>
      </c>
    </row>
    <row r="58" spans="1:12" x14ac:dyDescent="0.25">
      <c r="A58" t="s">
        <v>157</v>
      </c>
      <c r="B58">
        <v>2008</v>
      </c>
      <c r="C58">
        <f>I62</f>
        <v>72588.510262257696</v>
      </c>
      <c r="E58" t="s">
        <v>3</v>
      </c>
      <c r="F58" t="s">
        <v>373</v>
      </c>
      <c r="G58" t="s">
        <v>474</v>
      </c>
    </row>
    <row r="59" spans="1:12" x14ac:dyDescent="0.25">
      <c r="H59" t="s">
        <v>119</v>
      </c>
      <c r="I59" t="s">
        <v>494</v>
      </c>
    </row>
    <row r="60" spans="1:12" x14ac:dyDescent="0.25">
      <c r="G60" t="s">
        <v>475</v>
      </c>
      <c r="H60">
        <v>59348</v>
      </c>
      <c r="I60">
        <v>411900</v>
      </c>
    </row>
    <row r="61" spans="1:12" x14ac:dyDescent="0.25">
      <c r="G61" t="s">
        <v>278</v>
      </c>
      <c r="H61">
        <v>120303</v>
      </c>
      <c r="I61">
        <v>114300</v>
      </c>
    </row>
    <row r="62" spans="1:12" x14ac:dyDescent="0.25">
      <c r="G62" t="s">
        <v>131</v>
      </c>
      <c r="I62">
        <f>SUMPRODUCT(H60:H61,I60:I61)/SUM(I60:I61)</f>
        <v>72588.510262257696</v>
      </c>
    </row>
    <row r="63" spans="1:12" x14ac:dyDescent="0.25">
      <c r="G63" s="34" t="s">
        <v>477</v>
      </c>
    </row>
    <row r="64" spans="1:12" x14ac:dyDescent="0.25">
      <c r="G64" s="34" t="s">
        <v>478</v>
      </c>
    </row>
  </sheetData>
  <hyperlinks>
    <hyperlink ref="G21" r:id="rId1"/>
  </hyperlinks>
  <pageMargins left="0.7" right="0.7" top="0.75" bottom="0.75" header="0.3" footer="0.3"/>
  <pageSetup paperSize="9" orientation="portrait" horizontalDpi="4294967293" verticalDpi="4294967293"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Recommendation</vt:lpstr>
      <vt:lpstr>Medical Inflation</vt:lpstr>
      <vt:lpstr>MEPS</vt:lpstr>
      <vt:lpstr>Cancer 1</vt:lpstr>
      <vt:lpstr>Cancer 2</vt:lpstr>
      <vt:lpstr>Cancer In Situ</vt:lpstr>
      <vt:lpstr>Heart Attack</vt:lpstr>
      <vt:lpstr>Coronary Bypass</vt:lpstr>
      <vt:lpstr>Stroke</vt:lpstr>
      <vt:lpstr>Transplant</vt:lpstr>
      <vt:lpstr>Renal</vt:lpstr>
      <vt:lpstr>Paralysis</vt:lpstr>
      <vt:lpstr>Coma</vt:lpstr>
      <vt:lpstr>Blindness</vt:lpstr>
      <vt:lpstr>MS</vt:lpstr>
      <vt:lpstr>Miscellaneous Cost</vt:lpstr>
      <vt:lpstr>Right of Use</vt:lpstr>
      <vt:lpstr>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 chao</dc:creator>
  <cp:lastModifiedBy>wu chao</cp:lastModifiedBy>
  <dcterms:created xsi:type="dcterms:W3CDTF">2015-06-16T17:34:08Z</dcterms:created>
  <dcterms:modified xsi:type="dcterms:W3CDTF">2016-05-25T17:18:57Z</dcterms:modified>
</cp:coreProperties>
</file>