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hubley.PROVAIR\Documents\Projects\RectangleInPolygon\"/>
    </mc:Choice>
  </mc:AlternateContent>
  <bookViews>
    <workbookView xWindow="0" yWindow="0" windowWidth="21570" windowHeight="7965" firstSheet="4" activeTab="13"/>
  </bookViews>
  <sheets>
    <sheet name="TwoCorners_1" sheetId="2" r:id="rId1"/>
    <sheet name="TwoCorners_2" sheetId="13" r:id="rId2"/>
    <sheet name="TwoCorners_3" sheetId="3" r:id="rId3"/>
    <sheet name="TwoCorners_4" sheetId="4" r:id="rId4"/>
    <sheet name="TwoCorners_5" sheetId="5" r:id="rId5"/>
    <sheet name="TwoCorners_6" sheetId="8" r:id="rId6"/>
    <sheet name="TwoCorners_7" sheetId="17" r:id="rId7"/>
    <sheet name="Square" sheetId="10" r:id="rId8"/>
    <sheet name="Sheet6" sheetId="6" r:id="rId9"/>
    <sheet name="Intersection" sheetId="7" r:id="rId10"/>
    <sheet name="2Segments" sheetId="16" r:id="rId11"/>
    <sheet name="3Corners" sheetId="18" r:id="rId12"/>
    <sheet name="Sheet1" sheetId="19" r:id="rId13"/>
    <sheet name="Sheet1 (2)" sheetId="21" r:id="rId14"/>
    <sheet name="Sheet2" sheetId="20" r:id="rId15"/>
  </sheets>
  <definedNames>
    <definedName name="m" localSheetId="13">'Sheet1 (2)'!$B$27</definedName>
    <definedName name="m">Sheet1!$B$27</definedName>
    <definedName name="ma" localSheetId="13">'Sheet1 (2)'!$B$12</definedName>
    <definedName name="ma">Sheet1!$B$12</definedName>
    <definedName name="mac" localSheetId="13">'Sheet1 (2)'!$B$28</definedName>
    <definedName name="mac">Sheet1!$B$28</definedName>
    <definedName name="mb" localSheetId="13">'Sheet1 (2)'!$B$17</definedName>
    <definedName name="mb">Sheet1!$B$17</definedName>
    <definedName name="mc" localSheetId="13">'Sheet1 (2)'!$B$22</definedName>
    <definedName name="mc">Sheet1!$B$22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21" l="1"/>
  <c r="H2" i="21"/>
  <c r="I2" i="21"/>
  <c r="J2" i="21"/>
  <c r="L2" i="21"/>
  <c r="M2" i="21"/>
  <c r="N2" i="21"/>
  <c r="P2" i="21"/>
  <c r="R2" i="21"/>
  <c r="T2" i="21"/>
  <c r="X2" i="21"/>
  <c r="H3" i="21"/>
  <c r="I3" i="21"/>
  <c r="J3" i="21"/>
  <c r="L3" i="21"/>
  <c r="M3" i="21"/>
  <c r="N3" i="21"/>
  <c r="P3" i="21"/>
  <c r="R3" i="21"/>
  <c r="T3" i="21"/>
  <c r="X3" i="21"/>
  <c r="H4" i="21"/>
  <c r="I4" i="21"/>
  <c r="J4" i="21"/>
  <c r="L4" i="21"/>
  <c r="M4" i="21"/>
  <c r="N4" i="21"/>
  <c r="P4" i="21"/>
  <c r="R4" i="21"/>
  <c r="T4" i="21"/>
  <c r="X4" i="21"/>
  <c r="H5" i="21"/>
  <c r="I5" i="21"/>
  <c r="J5" i="21"/>
  <c r="L5" i="21"/>
  <c r="M5" i="21"/>
  <c r="N5" i="21"/>
  <c r="P5" i="21"/>
  <c r="R5" i="21"/>
  <c r="T5" i="21"/>
  <c r="X5" i="21"/>
  <c r="H6" i="21"/>
  <c r="I6" i="21"/>
  <c r="J6" i="21"/>
  <c r="L6" i="21"/>
  <c r="M6" i="21"/>
  <c r="N6" i="21"/>
  <c r="P6" i="21"/>
  <c r="R6" i="21"/>
  <c r="T6" i="21"/>
  <c r="X6" i="21"/>
  <c r="H7" i="21"/>
  <c r="I7" i="21"/>
  <c r="J7" i="21"/>
  <c r="L7" i="21"/>
  <c r="M7" i="21"/>
  <c r="N7" i="21"/>
  <c r="P7" i="21"/>
  <c r="R7" i="21"/>
  <c r="T7" i="21"/>
  <c r="X7" i="21"/>
  <c r="H8" i="21"/>
  <c r="I8" i="21"/>
  <c r="J8" i="21"/>
  <c r="L8" i="21"/>
  <c r="M8" i="21"/>
  <c r="N8" i="21"/>
  <c r="P8" i="21"/>
  <c r="R8" i="21"/>
  <c r="T8" i="21"/>
  <c r="X8" i="21"/>
  <c r="H9" i="21"/>
  <c r="I9" i="21"/>
  <c r="J9" i="21"/>
  <c r="L9" i="21"/>
  <c r="M9" i="21"/>
  <c r="N9" i="21"/>
  <c r="P9" i="21"/>
  <c r="R9" i="21"/>
  <c r="T9" i="21"/>
  <c r="X9" i="21"/>
  <c r="H10" i="21"/>
  <c r="I10" i="21"/>
  <c r="J10" i="21"/>
  <c r="L10" i="21"/>
  <c r="M10" i="21"/>
  <c r="N10" i="21"/>
  <c r="P10" i="21"/>
  <c r="R10" i="21"/>
  <c r="T10" i="21"/>
  <c r="X10" i="21"/>
  <c r="H11" i="21"/>
  <c r="I11" i="21"/>
  <c r="J11" i="21"/>
  <c r="L11" i="21"/>
  <c r="M11" i="21"/>
  <c r="N11" i="21"/>
  <c r="P11" i="21"/>
  <c r="R11" i="21"/>
  <c r="T11" i="21"/>
  <c r="X11" i="21"/>
  <c r="H12" i="21"/>
  <c r="I12" i="21"/>
  <c r="J12" i="21"/>
  <c r="L12" i="21"/>
  <c r="M12" i="21"/>
  <c r="N12" i="21"/>
  <c r="P12" i="21"/>
  <c r="R12" i="21"/>
  <c r="T12" i="21"/>
  <c r="X12" i="21"/>
  <c r="H13" i="21"/>
  <c r="I13" i="21"/>
  <c r="J13" i="21"/>
  <c r="L13" i="21"/>
  <c r="M13" i="21"/>
  <c r="N13" i="21"/>
  <c r="P13" i="21"/>
  <c r="R13" i="21"/>
  <c r="T13" i="21"/>
  <c r="X13" i="21"/>
  <c r="H14" i="21"/>
  <c r="I14" i="21"/>
  <c r="J14" i="21"/>
  <c r="L14" i="21"/>
  <c r="M14" i="21"/>
  <c r="N14" i="21"/>
  <c r="P14" i="21"/>
  <c r="R14" i="21"/>
  <c r="T14" i="21"/>
  <c r="X14" i="21"/>
  <c r="H15" i="21"/>
  <c r="I15" i="21"/>
  <c r="J15" i="21"/>
  <c r="L15" i="21"/>
  <c r="M15" i="21"/>
  <c r="N15" i="21"/>
  <c r="P15" i="21"/>
  <c r="R15" i="21"/>
  <c r="T15" i="21"/>
  <c r="X15" i="21"/>
  <c r="J36" i="21"/>
  <c r="I36" i="21"/>
  <c r="H23" i="21"/>
  <c r="G22" i="21"/>
  <c r="A19" i="21"/>
  <c r="A20" i="21" s="1"/>
  <c r="M17" i="21"/>
  <c r="M16" i="21"/>
  <c r="A14" i="21"/>
  <c r="H16" i="21" s="1"/>
  <c r="C8" i="21"/>
  <c r="B8" i="21"/>
  <c r="D6" i="21"/>
  <c r="B22" i="21" s="1"/>
  <c r="D4" i="21"/>
  <c r="B17" i="21" s="1"/>
  <c r="D3" i="21"/>
  <c r="D2" i="21"/>
  <c r="B12" i="21" s="1"/>
  <c r="B24" i="19"/>
  <c r="B22" i="19"/>
  <c r="A24" i="19"/>
  <c r="P4" i="19" s="1"/>
  <c r="L7" i="19"/>
  <c r="M7" i="19"/>
  <c r="L8" i="19"/>
  <c r="M8" i="19"/>
  <c r="L9" i="19"/>
  <c r="M9" i="19"/>
  <c r="L10" i="19"/>
  <c r="M10" i="19"/>
  <c r="L11" i="19"/>
  <c r="M11" i="19"/>
  <c r="L12" i="19"/>
  <c r="M12" i="19"/>
  <c r="L13" i="19"/>
  <c r="M13" i="19"/>
  <c r="L14" i="19"/>
  <c r="M14" i="19"/>
  <c r="L15" i="19"/>
  <c r="M15" i="19"/>
  <c r="L16" i="19"/>
  <c r="M16" i="19"/>
  <c r="L17" i="19"/>
  <c r="M17" i="19"/>
  <c r="M6" i="19"/>
  <c r="L6" i="19"/>
  <c r="D19" i="19"/>
  <c r="D18" i="19" s="1"/>
  <c r="E18" i="19" s="1"/>
  <c r="A19" i="19"/>
  <c r="B17" i="19"/>
  <c r="B12" i="19"/>
  <c r="L4" i="19"/>
  <c r="A14" i="19"/>
  <c r="H4" i="19" s="1"/>
  <c r="J4" i="19"/>
  <c r="R4" i="19"/>
  <c r="Y15" i="21" l="1"/>
  <c r="Y14" i="21"/>
  <c r="Y13" i="21"/>
  <c r="Y12" i="21"/>
  <c r="Y11" i="21"/>
  <c r="Y10" i="21"/>
  <c r="Y9" i="21"/>
  <c r="Y8" i="21"/>
  <c r="Y7" i="21"/>
  <c r="Y6" i="21"/>
  <c r="Y5" i="21"/>
  <c r="Y4" i="21"/>
  <c r="Y3" i="21"/>
  <c r="Y2" i="21"/>
  <c r="D7" i="21"/>
  <c r="A18" i="21"/>
  <c r="H17" i="21"/>
  <c r="A13" i="21"/>
  <c r="A15" i="21"/>
  <c r="B19" i="21"/>
  <c r="N17" i="21"/>
  <c r="N16" i="21"/>
  <c r="D5" i="21"/>
  <c r="AM12" i="21"/>
  <c r="J16" i="21"/>
  <c r="B27" i="21"/>
  <c r="J17" i="21"/>
  <c r="B14" i="21"/>
  <c r="B15" i="21" s="1"/>
  <c r="R16" i="21"/>
  <c r="R17" i="21"/>
  <c r="D19" i="21"/>
  <c r="D20" i="19"/>
  <c r="E20" i="19" s="1"/>
  <c r="B19" i="19"/>
  <c r="N4" i="19"/>
  <c r="Y5" i="19"/>
  <c r="AM12" i="19"/>
  <c r="Y4" i="19"/>
  <c r="J7" i="19"/>
  <c r="H6" i="19"/>
  <c r="J6" i="19"/>
  <c r="Y6" i="19"/>
  <c r="N6" i="19"/>
  <c r="P6" i="19"/>
  <c r="H7" i="19"/>
  <c r="N7" i="19"/>
  <c r="P7" i="19"/>
  <c r="R7" i="19"/>
  <c r="H8" i="19"/>
  <c r="Y8" i="19"/>
  <c r="N8" i="19"/>
  <c r="P8" i="19"/>
  <c r="R8" i="19"/>
  <c r="H9" i="19"/>
  <c r="N9" i="19"/>
  <c r="P9" i="19"/>
  <c r="R9" i="19"/>
  <c r="H10" i="19"/>
  <c r="J10" i="19"/>
  <c r="N10" i="19"/>
  <c r="P10" i="19"/>
  <c r="R10" i="19"/>
  <c r="H11" i="19"/>
  <c r="N11" i="19"/>
  <c r="P11" i="19"/>
  <c r="Y11" i="19" s="1"/>
  <c r="R11" i="19"/>
  <c r="H12" i="19"/>
  <c r="N12" i="19"/>
  <c r="P12" i="19"/>
  <c r="R12" i="19"/>
  <c r="H13" i="19"/>
  <c r="N13" i="19"/>
  <c r="P13" i="19"/>
  <c r="R13" i="19"/>
  <c r="H14" i="19"/>
  <c r="J14" i="19"/>
  <c r="Y14" i="19"/>
  <c r="N14" i="19"/>
  <c r="P14" i="19"/>
  <c r="R14" i="19"/>
  <c r="H15" i="19"/>
  <c r="N15" i="19"/>
  <c r="P15" i="19"/>
  <c r="H16" i="19"/>
  <c r="J16" i="19"/>
  <c r="N16" i="19"/>
  <c r="P16" i="19"/>
  <c r="R16" i="19"/>
  <c r="H17" i="19"/>
  <c r="J17" i="19"/>
  <c r="N17" i="19"/>
  <c r="P17" i="19"/>
  <c r="Y2" i="19"/>
  <c r="Y3" i="19"/>
  <c r="K9" i="20"/>
  <c r="L9" i="20"/>
  <c r="M9" i="20"/>
  <c r="N9" i="20"/>
  <c r="O9" i="20"/>
  <c r="P9" i="20"/>
  <c r="Q9" i="20"/>
  <c r="J9" i="20"/>
  <c r="J7" i="20"/>
  <c r="K7" i="20"/>
  <c r="L7" i="20"/>
  <c r="M7" i="20"/>
  <c r="N7" i="20"/>
  <c r="O7" i="20"/>
  <c r="P7" i="20"/>
  <c r="Q7" i="20"/>
  <c r="J8" i="20"/>
  <c r="K8" i="20"/>
  <c r="L8" i="20"/>
  <c r="M8" i="20"/>
  <c r="N8" i="20"/>
  <c r="O8" i="20"/>
  <c r="P8" i="20"/>
  <c r="Q8" i="20"/>
  <c r="B9" i="20"/>
  <c r="C9" i="20"/>
  <c r="D9" i="20"/>
  <c r="E9" i="20"/>
  <c r="F9" i="20"/>
  <c r="G9" i="20"/>
  <c r="H9" i="20"/>
  <c r="A9" i="20"/>
  <c r="B8" i="20"/>
  <c r="C8" i="20"/>
  <c r="D8" i="20"/>
  <c r="E8" i="20"/>
  <c r="F8" i="20"/>
  <c r="G8" i="20"/>
  <c r="H8" i="20"/>
  <c r="A8" i="20"/>
  <c r="B7" i="20"/>
  <c r="C7" i="20"/>
  <c r="D7" i="20"/>
  <c r="E7" i="20"/>
  <c r="F7" i="20"/>
  <c r="G7" i="20"/>
  <c r="H7" i="20"/>
  <c r="A7" i="20"/>
  <c r="F2" i="19"/>
  <c r="C3" i="19"/>
  <c r="C4" i="19"/>
  <c r="D3" i="19" s="1"/>
  <c r="C5" i="19"/>
  <c r="C6" i="19"/>
  <c r="C7" i="19"/>
  <c r="C2" i="19"/>
  <c r="C8" i="19" s="1"/>
  <c r="A25" i="19"/>
  <c r="E8" i="19"/>
  <c r="B8" i="19"/>
  <c r="F6" i="19"/>
  <c r="F5" i="19"/>
  <c r="F4" i="19"/>
  <c r="F3" i="19"/>
  <c r="T17" i="21" l="1"/>
  <c r="T16" i="21"/>
  <c r="L17" i="21"/>
  <c r="D20" i="21"/>
  <c r="E20" i="21" s="1"/>
  <c r="D18" i="21"/>
  <c r="E18" i="21" s="1"/>
  <c r="L16" i="21"/>
  <c r="I17" i="21"/>
  <c r="X17" i="21" s="1"/>
  <c r="I16" i="21"/>
  <c r="X16" i="21" s="1"/>
  <c r="B13" i="21"/>
  <c r="B20" i="21"/>
  <c r="B18" i="21"/>
  <c r="Y7" i="19"/>
  <c r="Y13" i="19"/>
  <c r="Y9" i="19"/>
  <c r="Y15" i="19"/>
  <c r="Y12" i="19"/>
  <c r="Y10" i="19"/>
  <c r="R17" i="19"/>
  <c r="R15" i="19"/>
  <c r="R6" i="19"/>
  <c r="J12" i="19"/>
  <c r="J8" i="19"/>
  <c r="J13" i="19"/>
  <c r="J9" i="19"/>
  <c r="J15" i="19"/>
  <c r="J11" i="19"/>
  <c r="Y17" i="19"/>
  <c r="Y16" i="19"/>
  <c r="B14" i="19"/>
  <c r="A15" i="19"/>
  <c r="F7" i="19"/>
  <c r="D7" i="19"/>
  <c r="A13" i="19"/>
  <c r="A18" i="19"/>
  <c r="D5" i="19"/>
  <c r="D2" i="19"/>
  <c r="D4" i="19"/>
  <c r="D6" i="19"/>
  <c r="A20" i="19"/>
  <c r="A23" i="19"/>
  <c r="K20" i="3"/>
  <c r="F12" i="3"/>
  <c r="P16" i="21" l="1"/>
  <c r="Y16" i="21" s="1"/>
  <c r="P17" i="21"/>
  <c r="Y17" i="21" s="1"/>
  <c r="A25" i="21"/>
  <c r="A23" i="21"/>
  <c r="B24" i="21"/>
  <c r="Q4" i="19"/>
  <c r="M4" i="19"/>
  <c r="I6" i="19"/>
  <c r="I4" i="19"/>
  <c r="Q6" i="19"/>
  <c r="Q14" i="19"/>
  <c r="Q7" i="19"/>
  <c r="Q15" i="19"/>
  <c r="Q9" i="19"/>
  <c r="Q10" i="19"/>
  <c r="Q12" i="19"/>
  <c r="Q16" i="19"/>
  <c r="Q8" i="19"/>
  <c r="Q11" i="19"/>
  <c r="Q13" i="19"/>
  <c r="Q17" i="19"/>
  <c r="I7" i="19"/>
  <c r="I8" i="19"/>
  <c r="I12" i="19"/>
  <c r="X12" i="19" s="1"/>
  <c r="I10" i="19"/>
  <c r="I14" i="19"/>
  <c r="I16" i="19"/>
  <c r="I15" i="19"/>
  <c r="I9" i="19"/>
  <c r="X9" i="19" s="1"/>
  <c r="I13" i="19"/>
  <c r="I17" i="19"/>
  <c r="I11" i="19"/>
  <c r="B27" i="19"/>
  <c r="B23" i="19"/>
  <c r="B13" i="19"/>
  <c r="B15" i="19"/>
  <c r="B25" i="19"/>
  <c r="B28" i="19"/>
  <c r="K3" i="3"/>
  <c r="J3" i="3"/>
  <c r="H2" i="4"/>
  <c r="G4" i="4" s="1"/>
  <c r="G2" i="4"/>
  <c r="G6" i="4" s="1"/>
  <c r="Q2" i="21" l="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B25" i="21"/>
  <c r="B28" i="21"/>
  <c r="Q17" i="21"/>
  <c r="Q16" i="21"/>
  <c r="B23" i="21"/>
  <c r="X3" i="19"/>
  <c r="X15" i="19"/>
  <c r="X2" i="19"/>
  <c r="T4" i="19"/>
  <c r="Z2" i="19"/>
  <c r="AK2" i="19" s="1" a="1"/>
  <c r="AK2" i="19" s="1"/>
  <c r="V4" i="19"/>
  <c r="AO12" i="19"/>
  <c r="AM13" i="19"/>
  <c r="AN12" i="19"/>
  <c r="AN13" i="19"/>
  <c r="AO13" i="19"/>
  <c r="X13" i="19"/>
  <c r="X5" i="19"/>
  <c r="X4" i="19"/>
  <c r="X8" i="19"/>
  <c r="X7" i="19"/>
  <c r="X11" i="19"/>
  <c r="X6" i="19"/>
  <c r="X17" i="19"/>
  <c r="X14" i="19"/>
  <c r="X10" i="19"/>
  <c r="V7" i="19"/>
  <c r="V11" i="19"/>
  <c r="V15" i="19"/>
  <c r="V16" i="19"/>
  <c r="V17" i="19"/>
  <c r="V9" i="19"/>
  <c r="V13" i="19"/>
  <c r="V6" i="19"/>
  <c r="V8" i="19"/>
  <c r="V12" i="19"/>
  <c r="V10" i="19"/>
  <c r="V14" i="19"/>
  <c r="T8" i="19"/>
  <c r="T12" i="19"/>
  <c r="T6" i="19"/>
  <c r="T10" i="19"/>
  <c r="T14" i="19"/>
  <c r="T15" i="19"/>
  <c r="T9" i="19"/>
  <c r="T13" i="19"/>
  <c r="T7" i="19"/>
  <c r="T11" i="19"/>
  <c r="X16" i="19"/>
  <c r="T16" i="19"/>
  <c r="Z16" i="19" s="1"/>
  <c r="T17" i="19"/>
  <c r="B20" i="19"/>
  <c r="B18" i="19"/>
  <c r="H4" i="4"/>
  <c r="H3" i="4" s="1"/>
  <c r="G5" i="4"/>
  <c r="H5" i="4"/>
  <c r="H6" i="4"/>
  <c r="G3" i="4"/>
  <c r="G8" i="4"/>
  <c r="N3" i="5"/>
  <c r="O3" i="5"/>
  <c r="P3" i="5"/>
  <c r="N4" i="5"/>
  <c r="O4" i="5"/>
  <c r="P4" i="5"/>
  <c r="P5" i="5"/>
  <c r="O7" i="5"/>
  <c r="P2" i="5"/>
  <c r="O2" i="5"/>
  <c r="N2" i="5"/>
  <c r="L4" i="5"/>
  <c r="L5" i="5"/>
  <c r="L6" i="5"/>
  <c r="L7" i="5"/>
  <c r="L3" i="5"/>
  <c r="K4" i="5"/>
  <c r="K5" i="5"/>
  <c r="K6" i="5"/>
  <c r="P6" i="5" s="1"/>
  <c r="K7" i="5"/>
  <c r="N7" i="5" s="1"/>
  <c r="K3" i="5"/>
  <c r="G3" i="5"/>
  <c r="G4" i="5"/>
  <c r="G5" i="5"/>
  <c r="O5" i="5" s="1"/>
  <c r="G6" i="5"/>
  <c r="O6" i="5" s="1"/>
  <c r="H3" i="5"/>
  <c r="H4" i="5"/>
  <c r="H5" i="5"/>
  <c r="H6" i="5"/>
  <c r="H2" i="5"/>
  <c r="G2" i="5"/>
  <c r="K8" i="17"/>
  <c r="H9" i="17"/>
  <c r="I9" i="17"/>
  <c r="I8" i="17"/>
  <c r="H8" i="17"/>
  <c r="D2" i="17"/>
  <c r="C8" i="17"/>
  <c r="C12" i="17" s="1"/>
  <c r="B8" i="17"/>
  <c r="F7" i="17"/>
  <c r="F3" i="17"/>
  <c r="F4" i="17"/>
  <c r="F5" i="17"/>
  <c r="F6" i="17"/>
  <c r="B32" i="17"/>
  <c r="B33" i="17" s="1"/>
  <c r="C30" i="17"/>
  <c r="B30" i="17"/>
  <c r="B31" i="17" s="1"/>
  <c r="B25" i="17"/>
  <c r="B24" i="17" s="1"/>
  <c r="B22" i="17"/>
  <c r="B21" i="17" s="1"/>
  <c r="C19" i="17"/>
  <c r="B19" i="17"/>
  <c r="C18" i="17"/>
  <c r="B18" i="17"/>
  <c r="B16" i="17"/>
  <c r="A12" i="16"/>
  <c r="H11" i="16"/>
  <c r="H14" i="16"/>
  <c r="H17" i="16"/>
  <c r="A21" i="16"/>
  <c r="B17" i="16"/>
  <c r="A17" i="16"/>
  <c r="D49" i="3"/>
  <c r="D50" i="3"/>
  <c r="D51" i="3"/>
  <c r="D52" i="3"/>
  <c r="D53" i="3"/>
  <c r="D54" i="3"/>
  <c r="D55" i="3"/>
  <c r="D56" i="3"/>
  <c r="D48" i="3"/>
  <c r="V3" i="21" l="1"/>
  <c r="Z3" i="21" s="1"/>
  <c r="AK3" i="21" s="1" a="1"/>
  <c r="AK3" i="21" s="1"/>
  <c r="V5" i="21"/>
  <c r="Z5" i="21" s="1"/>
  <c r="AK5" i="21" s="1" a="1"/>
  <c r="AK5" i="21" s="1"/>
  <c r="V11" i="21"/>
  <c r="Z11" i="21" s="1"/>
  <c r="AK11" i="21" s="1" a="1"/>
  <c r="AK11" i="21" s="1"/>
  <c r="V12" i="21"/>
  <c r="Z12" i="21" s="1"/>
  <c r="AK12" i="21" s="1" a="1"/>
  <c r="AK12" i="21" s="1"/>
  <c r="V2" i="21"/>
  <c r="Z2" i="21" s="1"/>
  <c r="AK2" i="21" s="1" a="1"/>
  <c r="AK2" i="21" s="1"/>
  <c r="V4" i="21"/>
  <c r="Z4" i="21" s="1"/>
  <c r="AK4" i="21" s="1" a="1"/>
  <c r="AK4" i="21" s="1"/>
  <c r="V6" i="21"/>
  <c r="Z6" i="21" s="1"/>
  <c r="AK6" i="21" s="1" a="1"/>
  <c r="AK6" i="21" s="1"/>
  <c r="V7" i="21"/>
  <c r="Z7" i="21" s="1"/>
  <c r="AK7" i="21" s="1" a="1"/>
  <c r="AK7" i="21" s="1"/>
  <c r="V8" i="21"/>
  <c r="Z8" i="21" s="1"/>
  <c r="AK8" i="21" s="1" a="1"/>
  <c r="AK8" i="21" s="1"/>
  <c r="V9" i="21"/>
  <c r="Z9" i="21" s="1"/>
  <c r="AK9" i="21" s="1" a="1"/>
  <c r="AK9" i="21" s="1"/>
  <c r="V10" i="21"/>
  <c r="Z10" i="21" s="1"/>
  <c r="AK10" i="21" s="1" a="1"/>
  <c r="AK10" i="21" s="1"/>
  <c r="V13" i="21"/>
  <c r="Z13" i="21" s="1"/>
  <c r="AK13" i="21" s="1" a="1"/>
  <c r="AK13" i="21" s="1"/>
  <c r="V14" i="21"/>
  <c r="Z14" i="21" s="1"/>
  <c r="AK14" i="21" s="1" a="1"/>
  <c r="AK14" i="21" s="1"/>
  <c r="V15" i="21"/>
  <c r="Z15" i="21" s="1"/>
  <c r="AK15" i="21" s="1" a="1"/>
  <c r="AK15" i="21" s="1"/>
  <c r="V16" i="21"/>
  <c r="Z16" i="21" s="1"/>
  <c r="AK16" i="21" s="1" a="1"/>
  <c r="AK16" i="21" s="1"/>
  <c r="V17" i="21"/>
  <c r="Z17" i="21" s="1"/>
  <c r="AK17" i="21" s="1" a="1"/>
  <c r="AK17" i="21" s="1"/>
  <c r="AO13" i="21"/>
  <c r="AN13" i="21"/>
  <c r="AO12" i="21"/>
  <c r="AN12" i="21"/>
  <c r="AM13" i="21"/>
  <c r="Z3" i="19"/>
  <c r="AK3" i="19" s="1" a="1"/>
  <c r="AK3" i="19" s="1"/>
  <c r="Z17" i="19"/>
  <c r="AK17" i="19" s="1" a="1"/>
  <c r="AK17" i="19" s="1"/>
  <c r="Z4" i="19"/>
  <c r="AK4" i="19" s="1" a="1"/>
  <c r="AK4" i="19" s="1"/>
  <c r="Z15" i="19"/>
  <c r="AK15" i="19" s="1" a="1"/>
  <c r="AK15" i="19" s="1"/>
  <c r="Z14" i="19"/>
  <c r="AK14" i="19" s="1" a="1"/>
  <c r="AK14" i="19" s="1"/>
  <c r="Z5" i="19"/>
  <c r="AK5" i="19" s="1" a="1"/>
  <c r="AK5" i="19" s="1"/>
  <c r="Z8" i="19"/>
  <c r="AK8" i="19" s="1" a="1"/>
  <c r="AK8" i="19" s="1"/>
  <c r="Z10" i="19"/>
  <c r="AK10" i="19" s="1" a="1"/>
  <c r="AK10" i="19" s="1"/>
  <c r="Z6" i="19"/>
  <c r="AK6" i="19" s="1" a="1"/>
  <c r="AK6" i="19" s="1"/>
  <c r="Z7" i="19"/>
  <c r="AK7" i="19" s="1" a="1"/>
  <c r="AK7" i="19" s="1"/>
  <c r="AK16" i="19" a="1"/>
  <c r="AK16" i="19" s="1"/>
  <c r="Z12" i="19"/>
  <c r="AK12" i="19" s="1" a="1"/>
  <c r="AK12" i="19" s="1"/>
  <c r="Z13" i="19"/>
  <c r="AK13" i="19" s="1" a="1"/>
  <c r="AK13" i="19" s="1"/>
  <c r="Z11" i="19"/>
  <c r="AK11" i="19" s="1" a="1"/>
  <c r="AK11" i="19" s="1"/>
  <c r="Z9" i="19"/>
  <c r="AK9" i="19" s="1" a="1"/>
  <c r="AK9" i="19" s="1"/>
  <c r="P7" i="5"/>
  <c r="N5" i="5"/>
  <c r="R5" i="5" s="1"/>
  <c r="S5" i="5" s="1"/>
  <c r="N6" i="5"/>
  <c r="R6" i="5" s="1"/>
  <c r="R3" i="5"/>
  <c r="S3" i="5" s="1"/>
  <c r="B23" i="17"/>
  <c r="B26" i="17"/>
  <c r="C11" i="17"/>
  <c r="C21" i="16"/>
  <c r="C17" i="16"/>
  <c r="A18" i="16"/>
  <c r="B18" i="16" s="1"/>
  <c r="B12" i="16"/>
  <c r="F11" i="16" s="1"/>
  <c r="A15" i="16"/>
  <c r="C14" i="16"/>
  <c r="B14" i="16"/>
  <c r="A14" i="16"/>
  <c r="B11" i="16"/>
  <c r="A11" i="16"/>
  <c r="B4" i="16"/>
  <c r="B6" i="16"/>
  <c r="B21" i="16" s="1"/>
  <c r="A22" i="16" s="1"/>
  <c r="B22" i="16" s="1"/>
  <c r="H21" i="16" s="1"/>
  <c r="J14" i="3"/>
  <c r="K5" i="3"/>
  <c r="J5" i="3"/>
  <c r="K4" i="3"/>
  <c r="J4" i="3"/>
  <c r="B12" i="3"/>
  <c r="D2" i="3"/>
  <c r="D3" i="3"/>
  <c r="C8" i="3"/>
  <c r="B8" i="3"/>
  <c r="N5" i="3"/>
  <c r="Q5" i="3"/>
  <c r="T5" i="3"/>
  <c r="W5" i="3"/>
  <c r="N6" i="3"/>
  <c r="Q6" i="3"/>
  <c r="T6" i="3"/>
  <c r="W6" i="3"/>
  <c r="N7" i="3"/>
  <c r="Q7" i="3"/>
  <c r="T7" i="3"/>
  <c r="W7" i="3"/>
  <c r="N8" i="3"/>
  <c r="Q8" i="3"/>
  <c r="T8" i="3"/>
  <c r="W8" i="3"/>
  <c r="N9" i="3"/>
  <c r="Q9" i="3"/>
  <c r="T9" i="3"/>
  <c r="W9" i="3"/>
  <c r="W4" i="3"/>
  <c r="T4" i="3"/>
  <c r="Q4" i="3"/>
  <c r="N4" i="3"/>
  <c r="F17" i="3"/>
  <c r="B17" i="3"/>
  <c r="F15" i="3"/>
  <c r="B15" i="3"/>
  <c r="G14" i="3"/>
  <c r="C14" i="3"/>
  <c r="F13" i="3"/>
  <c r="B13" i="3"/>
  <c r="W3" i="3"/>
  <c r="T3" i="3"/>
  <c r="Q3" i="3"/>
  <c r="N3" i="3"/>
  <c r="B12" i="13"/>
  <c r="I4" i="13"/>
  <c r="J4" i="13"/>
  <c r="I5" i="13"/>
  <c r="J5" i="13"/>
  <c r="I6" i="13"/>
  <c r="J6" i="13"/>
  <c r="I7" i="13"/>
  <c r="J7" i="13"/>
  <c r="I8" i="13"/>
  <c r="J8" i="13"/>
  <c r="J3" i="13"/>
  <c r="I3" i="13"/>
  <c r="M5" i="13"/>
  <c r="P5" i="13"/>
  <c r="S5" i="13"/>
  <c r="V5" i="13"/>
  <c r="M6" i="13"/>
  <c r="P6" i="13"/>
  <c r="S6" i="13"/>
  <c r="V6" i="13"/>
  <c r="M7" i="13"/>
  <c r="P7" i="13"/>
  <c r="S7" i="13"/>
  <c r="V7" i="13"/>
  <c r="M8" i="13"/>
  <c r="P8" i="13"/>
  <c r="S8" i="13"/>
  <c r="V8" i="13"/>
  <c r="M9" i="13"/>
  <c r="P9" i="13"/>
  <c r="S9" i="13"/>
  <c r="V9" i="13"/>
  <c r="V4" i="13"/>
  <c r="S4" i="13"/>
  <c r="P4" i="13"/>
  <c r="M4" i="13"/>
  <c r="K27" i="2"/>
  <c r="J27" i="2"/>
  <c r="J26" i="2"/>
  <c r="K26" i="2"/>
  <c r="K24" i="2"/>
  <c r="K25" i="2"/>
  <c r="J25" i="2"/>
  <c r="J24" i="2"/>
  <c r="K23" i="2"/>
  <c r="J23" i="2"/>
  <c r="K20" i="2"/>
  <c r="K21" i="2" s="1"/>
  <c r="K19" i="2"/>
  <c r="K18" i="2"/>
  <c r="K15" i="2"/>
  <c r="K3" i="2"/>
  <c r="J3" i="2"/>
  <c r="N5" i="2"/>
  <c r="Q5" i="2"/>
  <c r="T5" i="2"/>
  <c r="W5" i="2"/>
  <c r="N6" i="2"/>
  <c r="Q6" i="2"/>
  <c r="T6" i="2"/>
  <c r="W6" i="2"/>
  <c r="N7" i="2"/>
  <c r="Q7" i="2"/>
  <c r="T7" i="2"/>
  <c r="W7" i="2"/>
  <c r="N8" i="2"/>
  <c r="Q8" i="2"/>
  <c r="T8" i="2"/>
  <c r="W8" i="2"/>
  <c r="N9" i="2"/>
  <c r="Q9" i="2"/>
  <c r="T9" i="2"/>
  <c r="W9" i="2"/>
  <c r="W4" i="2"/>
  <c r="T4" i="2"/>
  <c r="Q4" i="2"/>
  <c r="N4" i="2"/>
  <c r="B20" i="2"/>
  <c r="D2" i="2"/>
  <c r="D3" i="2"/>
  <c r="G17" i="2"/>
  <c r="C17" i="2"/>
  <c r="W3" i="2"/>
  <c r="T3" i="2"/>
  <c r="Q3" i="2"/>
  <c r="N3" i="2"/>
  <c r="F20" i="2"/>
  <c r="F18" i="2"/>
  <c r="B18" i="2"/>
  <c r="F16" i="2"/>
  <c r="B16" i="2"/>
  <c r="F12" i="13"/>
  <c r="C17" i="13"/>
  <c r="V3" i="13"/>
  <c r="S3" i="13"/>
  <c r="P3" i="13"/>
  <c r="M3" i="13"/>
  <c r="C14" i="13"/>
  <c r="F17" i="13"/>
  <c r="B17" i="13"/>
  <c r="F15" i="13"/>
  <c r="B15" i="13"/>
  <c r="G14" i="13"/>
  <c r="F13" i="13"/>
  <c r="B13" i="13"/>
  <c r="B2" i="13"/>
  <c r="D7" i="13"/>
  <c r="D6" i="13"/>
  <c r="D5" i="13"/>
  <c r="D4" i="13"/>
  <c r="D3" i="13"/>
  <c r="C2" i="13"/>
  <c r="R4" i="5" l="1"/>
  <c r="S4" i="5" s="1"/>
  <c r="F17" i="16"/>
  <c r="B15" i="16"/>
  <c r="F14" i="16" s="1"/>
  <c r="F21" i="16"/>
  <c r="C13" i="3"/>
  <c r="B19" i="3"/>
  <c r="C15" i="3"/>
  <c r="C17" i="3"/>
  <c r="B22" i="2"/>
  <c r="G13" i="13"/>
  <c r="B19" i="13"/>
  <c r="C13" i="13"/>
  <c r="G15" i="13"/>
  <c r="G17" i="13"/>
  <c r="C15" i="13"/>
  <c r="D2" i="13"/>
  <c r="B15" i="2" l="1"/>
  <c r="K14" i="2"/>
  <c r="F15" i="2"/>
  <c r="D4" i="3"/>
  <c r="D5" i="3"/>
  <c r="D6" i="3"/>
  <c r="D7" i="3"/>
  <c r="G17" i="3" l="1"/>
  <c r="K7" i="3"/>
  <c r="K6" i="3"/>
  <c r="K8" i="3"/>
  <c r="J7" i="3"/>
  <c r="J8" i="3"/>
  <c r="G13" i="3"/>
  <c r="G15" i="3"/>
  <c r="J6" i="3"/>
  <c r="K4" i="2"/>
  <c r="K7" i="2"/>
  <c r="K8" i="2"/>
  <c r="K5" i="2"/>
  <c r="K6" i="2"/>
  <c r="J5" i="2"/>
  <c r="C12" i="2" l="1"/>
  <c r="B12" i="2"/>
  <c r="D4" i="2" l="1"/>
  <c r="D5" i="2"/>
  <c r="D6" i="2"/>
  <c r="D7" i="2"/>
  <c r="D8" i="2"/>
  <c r="D9" i="2"/>
  <c r="D10" i="2"/>
  <c r="D11" i="2"/>
  <c r="H28" i="2" l="1"/>
  <c r="H29" i="2"/>
  <c r="H26" i="2"/>
  <c r="H27" i="2"/>
  <c r="C20" i="2"/>
  <c r="C18" i="2"/>
  <c r="C16" i="2"/>
  <c r="C33" i="10"/>
  <c r="B33" i="10"/>
  <c r="B34" i="10" s="1"/>
  <c r="C34" i="10" s="1"/>
  <c r="B32" i="10"/>
  <c r="G30" i="10"/>
  <c r="G31" i="10" s="1"/>
  <c r="B30" i="10"/>
  <c r="B31" i="10" s="1"/>
  <c r="G29" i="10"/>
  <c r="B29" i="10"/>
  <c r="G27" i="10"/>
  <c r="B27" i="10"/>
  <c r="G26" i="10"/>
  <c r="G33" i="10" s="1"/>
  <c r="B26" i="10"/>
  <c r="I25" i="10"/>
  <c r="D25" i="10"/>
  <c r="G24" i="10"/>
  <c r="B24" i="10"/>
  <c r="I23" i="10"/>
  <c r="C6" i="10"/>
  <c r="C20" i="10" s="1"/>
  <c r="B6" i="10"/>
  <c r="B19" i="10" s="1"/>
  <c r="D4" i="10"/>
  <c r="C25" i="10" s="1"/>
  <c r="C24" i="10" s="1"/>
  <c r="D3" i="10"/>
  <c r="H31" i="10" s="1"/>
  <c r="D2" i="10"/>
  <c r="C31" i="10" s="1"/>
  <c r="N27" i="8"/>
  <c r="I27" i="8"/>
  <c r="D27" i="8"/>
  <c r="D24" i="8" s="1"/>
  <c r="L35" i="8"/>
  <c r="L36" i="8" s="1"/>
  <c r="M33" i="8"/>
  <c r="L33" i="8"/>
  <c r="L34" i="8" s="1"/>
  <c r="L28" i="8"/>
  <c r="L27" i="8" s="1"/>
  <c r="L25" i="8"/>
  <c r="L26" i="8" s="1"/>
  <c r="M22" i="8"/>
  <c r="L22" i="8"/>
  <c r="M21" i="8"/>
  <c r="L21" i="8"/>
  <c r="L19" i="8"/>
  <c r="G35" i="8"/>
  <c r="G36" i="8" s="1"/>
  <c r="H33" i="8"/>
  <c r="G33" i="8"/>
  <c r="G34" i="8" s="1"/>
  <c r="G28" i="8"/>
  <c r="G29" i="8" s="1"/>
  <c r="G27" i="8"/>
  <c r="G25" i="8"/>
  <c r="G26" i="8" s="1"/>
  <c r="H22" i="8"/>
  <c r="G22" i="8"/>
  <c r="H21" i="8"/>
  <c r="G21" i="8"/>
  <c r="G19" i="8"/>
  <c r="B7" i="8"/>
  <c r="D3" i="8"/>
  <c r="D4" i="8"/>
  <c r="C20" i="8" s="1"/>
  <c r="D5" i="8"/>
  <c r="B35" i="8"/>
  <c r="B36" i="8" s="1"/>
  <c r="C33" i="8"/>
  <c r="B33" i="8"/>
  <c r="B34" i="8" s="1"/>
  <c r="B28" i="8"/>
  <c r="B29" i="8" s="1"/>
  <c r="B25" i="8"/>
  <c r="B24" i="8" s="1"/>
  <c r="C22" i="8"/>
  <c r="B22" i="8"/>
  <c r="C21" i="8"/>
  <c r="B21" i="8"/>
  <c r="B19" i="8"/>
  <c r="C7" i="8"/>
  <c r="C14" i="8" s="1"/>
  <c r="D2" i="8"/>
  <c r="B30" i="4"/>
  <c r="B31" i="4" s="1"/>
  <c r="C29" i="4"/>
  <c r="B29" i="4"/>
  <c r="C28" i="4"/>
  <c r="B28" i="4"/>
  <c r="D19" i="4"/>
  <c r="C20" i="4" s="1"/>
  <c r="D22" i="4"/>
  <c r="C21" i="4"/>
  <c r="C19" i="4"/>
  <c r="B22" i="4"/>
  <c r="B21" i="4"/>
  <c r="B19" i="4"/>
  <c r="B23" i="4"/>
  <c r="B24" i="4" s="1"/>
  <c r="B20" i="4"/>
  <c r="C17" i="4"/>
  <c r="B17" i="4"/>
  <c r="B16" i="4"/>
  <c r="C16" i="4"/>
  <c r="B14" i="4"/>
  <c r="G30" i="6"/>
  <c r="G29" i="6" s="1"/>
  <c r="G27" i="6"/>
  <c r="G26" i="6"/>
  <c r="G33" i="6" s="1"/>
  <c r="I25" i="6"/>
  <c r="G24" i="6"/>
  <c r="I23" i="6"/>
  <c r="B33" i="6"/>
  <c r="B30" i="6"/>
  <c r="B31" i="6" s="1"/>
  <c r="G31" i="6"/>
  <c r="B32" i="6"/>
  <c r="B34" i="6"/>
  <c r="B27" i="6"/>
  <c r="B26" i="6"/>
  <c r="B24" i="6"/>
  <c r="C6" i="6"/>
  <c r="B6" i="6"/>
  <c r="S35" i="5"/>
  <c r="U34" i="5"/>
  <c r="D3" i="5"/>
  <c r="D4" i="5"/>
  <c r="D5" i="5"/>
  <c r="D6" i="5"/>
  <c r="D2" i="5"/>
  <c r="T34" i="5" s="1"/>
  <c r="J4" i="2" l="1"/>
  <c r="J6" i="2"/>
  <c r="J8" i="2"/>
  <c r="J7" i="2"/>
  <c r="G20" i="2"/>
  <c r="G18" i="2"/>
  <c r="G16" i="2"/>
  <c r="C32" i="10"/>
  <c r="C19" i="10"/>
  <c r="D5" i="10"/>
  <c r="H25" i="10" s="1"/>
  <c r="H24" i="10" s="1"/>
  <c r="B20" i="10"/>
  <c r="G34" i="10"/>
  <c r="G32" i="10"/>
  <c r="C23" i="10"/>
  <c r="H23" i="10"/>
  <c r="D23" i="10"/>
  <c r="C29" i="10"/>
  <c r="C30" i="10"/>
  <c r="D6" i="10"/>
  <c r="H29" i="10"/>
  <c r="H30" i="10"/>
  <c r="H32" i="10"/>
  <c r="M20" i="8"/>
  <c r="M19" i="8" s="1"/>
  <c r="L29" i="8"/>
  <c r="H20" i="8"/>
  <c r="H28" i="8" s="1"/>
  <c r="L24" i="8"/>
  <c r="N24" i="8"/>
  <c r="G24" i="8"/>
  <c r="I24" i="8"/>
  <c r="B26" i="8"/>
  <c r="C26" i="8" s="1"/>
  <c r="D6" i="8"/>
  <c r="B14" i="8"/>
  <c r="C19" i="8"/>
  <c r="C35" i="8"/>
  <c r="C36" i="8" s="1"/>
  <c r="D20" i="8"/>
  <c r="B31" i="8"/>
  <c r="C29" i="8"/>
  <c r="C24" i="8"/>
  <c r="B15" i="8"/>
  <c r="C34" i="8"/>
  <c r="C15" i="8"/>
  <c r="B27" i="8"/>
  <c r="C27" i="8" s="1"/>
  <c r="C28" i="8"/>
  <c r="C25" i="8"/>
  <c r="G32" i="6"/>
  <c r="G34" i="6"/>
  <c r="C34" i="6"/>
  <c r="H30" i="6"/>
  <c r="H27" i="6"/>
  <c r="B29" i="6"/>
  <c r="T35" i="5"/>
  <c r="C9" i="7"/>
  <c r="E17" i="7"/>
  <c r="E16" i="7"/>
  <c r="B14" i="7"/>
  <c r="B13" i="7"/>
  <c r="B9" i="7"/>
  <c r="C7" i="7"/>
  <c r="C4" i="7"/>
  <c r="S28" i="5"/>
  <c r="S27" i="5"/>
  <c r="S25" i="5"/>
  <c r="S24" i="5"/>
  <c r="T31" i="5"/>
  <c r="S31" i="5"/>
  <c r="T30" i="5"/>
  <c r="S30" i="5"/>
  <c r="T25" i="5"/>
  <c r="B24" i="5"/>
  <c r="T27" i="5" s="1"/>
  <c r="B22" i="5"/>
  <c r="C20" i="5"/>
  <c r="B20" i="5"/>
  <c r="C19" i="5"/>
  <c r="B19" i="5"/>
  <c r="C17" i="5"/>
  <c r="B17" i="5"/>
  <c r="B20" i="6"/>
  <c r="B19" i="6"/>
  <c r="C19" i="6"/>
  <c r="D6" i="6"/>
  <c r="D5" i="6"/>
  <c r="D4" i="6"/>
  <c r="D3" i="6"/>
  <c r="H23" i="6" s="1"/>
  <c r="H26" i="6" s="1"/>
  <c r="D2" i="6"/>
  <c r="C8" i="5"/>
  <c r="B8" i="5"/>
  <c r="L2" i="5" l="1"/>
  <c r="H7" i="5"/>
  <c r="D7" i="5"/>
  <c r="K2" i="5"/>
  <c r="G7" i="5"/>
  <c r="H33" i="10"/>
  <c r="H34" i="10"/>
  <c r="H27" i="10"/>
  <c r="H26" i="10"/>
  <c r="C27" i="10"/>
  <c r="C26" i="10"/>
  <c r="L31" i="8"/>
  <c r="M28" i="8"/>
  <c r="M27" i="8"/>
  <c r="M29" i="8"/>
  <c r="M34" i="8"/>
  <c r="M24" i="8"/>
  <c r="M26" i="8"/>
  <c r="M25" i="8"/>
  <c r="N20" i="8"/>
  <c r="M35" i="8"/>
  <c r="M36" i="8" s="1"/>
  <c r="H29" i="8"/>
  <c r="H27" i="8"/>
  <c r="H34" i="8"/>
  <c r="H25" i="8"/>
  <c r="H26" i="8"/>
  <c r="H24" i="8"/>
  <c r="H35" i="8"/>
  <c r="H36" i="8" s="1"/>
  <c r="H19" i="8"/>
  <c r="I20" i="8"/>
  <c r="G31" i="8"/>
  <c r="H33" i="6"/>
  <c r="H25" i="6"/>
  <c r="H24" i="6" s="1"/>
  <c r="H34" i="6"/>
  <c r="C30" i="6"/>
  <c r="C23" i="6"/>
  <c r="D23" i="6"/>
  <c r="C31" i="6"/>
  <c r="H32" i="6"/>
  <c r="H29" i="6"/>
  <c r="H31" i="6"/>
  <c r="C25" i="6"/>
  <c r="C24" i="6" s="1"/>
  <c r="D25" i="6"/>
  <c r="C29" i="6"/>
  <c r="C33" i="6"/>
  <c r="C32" i="6"/>
  <c r="C20" i="6"/>
  <c r="T24" i="5"/>
  <c r="T28" i="5"/>
  <c r="B16" i="7" a="1"/>
  <c r="C16" i="7" s="1"/>
  <c r="C15" i="4"/>
  <c r="D2" i="4"/>
  <c r="D4" i="4"/>
  <c r="D5" i="4"/>
  <c r="D6" i="4"/>
  <c r="D3" i="4"/>
  <c r="C9" i="4"/>
  <c r="C10" i="4"/>
  <c r="B10" i="4"/>
  <c r="B9" i="4"/>
  <c r="C7" i="4"/>
  <c r="B7" i="4"/>
  <c r="R2" i="5" l="1"/>
  <c r="S2" i="5" s="1"/>
  <c r="R7" i="5"/>
  <c r="S7" i="5" s="1"/>
  <c r="B26" i="4"/>
  <c r="C30" i="4"/>
  <c r="C31" i="4" s="1"/>
  <c r="C14" i="4"/>
  <c r="C23" i="4"/>
  <c r="C22" i="4"/>
  <c r="C24" i="4"/>
  <c r="C27" i="6"/>
  <c r="C26" i="6"/>
  <c r="B17" i="7"/>
  <c r="C17" i="7"/>
  <c r="B16" i="7"/>
  <c r="C19" i="7" s="1" a="1"/>
  <c r="C19" i="7" s="1"/>
  <c r="D15" i="4"/>
  <c r="S6" i="5" l="1"/>
  <c r="C20" i="7"/>
  <c r="D24" i="17"/>
  <c r="D6" i="17"/>
  <c r="D7" i="17"/>
  <c r="D4" i="17"/>
  <c r="D5" i="17"/>
  <c r="C17" i="17" l="1"/>
  <c r="D17" i="17" s="1"/>
  <c r="B11" i="17"/>
  <c r="F2" i="17"/>
  <c r="D3" i="17"/>
  <c r="D21" i="17"/>
  <c r="C22" i="17" s="1"/>
  <c r="B12" i="17"/>
  <c r="B28" i="17" l="1"/>
  <c r="C24" i="17"/>
  <c r="C25" i="17"/>
  <c r="C32" i="17"/>
  <c r="C33" i="17" s="1"/>
  <c r="C16" i="17"/>
  <c r="C26" i="17"/>
  <c r="C21" i="17"/>
  <c r="C23" i="17"/>
  <c r="C31" i="17"/>
</calcChain>
</file>

<file path=xl/sharedStrings.xml><?xml version="1.0" encoding="utf-8"?>
<sst xmlns="http://schemas.openxmlformats.org/spreadsheetml/2006/main" count="660" uniqueCount="187">
  <si>
    <t>x</t>
  </si>
  <si>
    <t>y</t>
  </si>
  <si>
    <t>max</t>
  </si>
  <si>
    <t>min</t>
  </si>
  <si>
    <t>idx</t>
  </si>
  <si>
    <t>A</t>
  </si>
  <si>
    <t>B</t>
  </si>
  <si>
    <t>C</t>
  </si>
  <si>
    <t>D</t>
  </si>
  <si>
    <t>m</t>
  </si>
  <si>
    <t>a</t>
  </si>
  <si>
    <t>c</t>
  </si>
  <si>
    <t>area</t>
  </si>
  <si>
    <t>m_guess</t>
  </si>
  <si>
    <t>m_ac</t>
  </si>
  <si>
    <t>-m_guess</t>
  </si>
  <si>
    <t>slope</t>
  </si>
  <si>
    <t>line1</t>
  </si>
  <si>
    <t>line2</t>
  </si>
  <si>
    <t>tanA</t>
  </si>
  <si>
    <t>tanB</t>
  </si>
  <si>
    <t>tanC</t>
  </si>
  <si>
    <t>tanD</t>
  </si>
  <si>
    <t>b</t>
  </si>
  <si>
    <t>d</t>
  </si>
  <si>
    <t>TanA</t>
  </si>
  <si>
    <t>TanC</t>
  </si>
  <si>
    <t>cross1</t>
  </si>
  <si>
    <t>cross2</t>
  </si>
  <si>
    <t>TanA1</t>
  </si>
  <si>
    <t>TanC1</t>
  </si>
  <si>
    <t>area1</t>
  </si>
  <si>
    <t>crossA1</t>
  </si>
  <si>
    <t>crossC1</t>
  </si>
  <si>
    <t>a1</t>
  </si>
  <si>
    <t>c1</t>
  </si>
  <si>
    <t>a2</t>
  </si>
  <si>
    <t>c2</t>
  </si>
  <si>
    <t>TanA2</t>
  </si>
  <si>
    <t>TanC2</t>
  </si>
  <si>
    <t>area2</t>
  </si>
  <si>
    <t>crossA2</t>
  </si>
  <si>
    <t>crossC2</t>
  </si>
  <si>
    <t>TanA3</t>
  </si>
  <si>
    <t>TanC3</t>
  </si>
  <si>
    <t>area3</t>
  </si>
  <si>
    <t>crossA3</t>
  </si>
  <si>
    <t>crossC3</t>
  </si>
  <si>
    <t>point</t>
  </si>
  <si>
    <t>eliminate</t>
  </si>
  <si>
    <t>slopeAC</t>
  </si>
  <si>
    <t>before c</t>
  </si>
  <si>
    <t>before a</t>
  </si>
  <si>
    <t>after a</t>
  </si>
  <si>
    <t>after c</t>
  </si>
  <si>
    <t>HI</t>
  </si>
  <si>
    <t>LO</t>
  </si>
  <si>
    <t>X</t>
  </si>
  <si>
    <t>Y</t>
  </si>
  <si>
    <t>f(a) after c</t>
  </si>
  <si>
    <t>f(a) before c</t>
  </si>
  <si>
    <t>g( c ) before a</t>
  </si>
  <si>
    <t>g( c ) after a</t>
  </si>
  <si>
    <t>range of C changed, change c</t>
  </si>
  <si>
    <t>range of A changed, change a</t>
  </si>
  <si>
    <t>A HI = A LO &amp;&amp; C HI = C LO</t>
  </si>
  <si>
    <t>CrossA</t>
  </si>
  <si>
    <t>CrossC</t>
  </si>
  <si>
    <t>slopeA</t>
  </si>
  <si>
    <t>slopeC</t>
  </si>
  <si>
    <t>slopAC</t>
  </si>
  <si>
    <t>range of C is single point, slopeC = -slopeAC</t>
  </si>
  <si>
    <t>left with one seg</t>
  </si>
  <si>
    <t>x=</t>
  </si>
  <si>
    <t>y=</t>
  </si>
  <si>
    <t>IF($F$3&lt;$G$3,"AFTER", "BEFORE" )</t>
  </si>
  <si>
    <t>IF(-$G$3&lt;$H$3, "AFTER", "BEFORE")</t>
  </si>
  <si>
    <t xml:space="preserve">area </t>
  </si>
  <si>
    <t>four possibilities</t>
  </si>
  <si>
    <t>A0</t>
  </si>
  <si>
    <t>A1</t>
  </si>
  <si>
    <t>C0</t>
  </si>
  <si>
    <t>C1</t>
  </si>
  <si>
    <t>-mC</t>
  </si>
  <si>
    <t>-mA</t>
  </si>
  <si>
    <t>line</t>
  </si>
  <si>
    <t>&gt;2</t>
  </si>
  <si>
    <t>vA</t>
  </si>
  <si>
    <t>vC</t>
  </si>
  <si>
    <t>one.x() * two.x() + one.y() * two.y() + one.z() * two.z()</t>
  </si>
  <si>
    <t>minx</t>
  </si>
  <si>
    <t>maxy</t>
  </si>
  <si>
    <t>miny</t>
  </si>
  <si>
    <t>maxx</t>
  </si>
  <si>
    <t>if 0</t>
  </si>
  <si>
    <t>dot</t>
  </si>
  <si>
    <t>mag</t>
  </si>
  <si>
    <t>cos</t>
  </si>
  <si>
    <t>0-&gt;1</t>
  </si>
  <si>
    <t>1-&gt;2</t>
  </si>
  <si>
    <t>2-&gt;3</t>
  </si>
  <si>
    <t>3-&gt;4</t>
  </si>
  <si>
    <t>5-&gt;0</t>
  </si>
  <si>
    <t>4-&gt;5</t>
  </si>
  <si>
    <t>5&lt;-0</t>
  </si>
  <si>
    <t>0&lt;-1</t>
  </si>
  <si>
    <t>1&lt;-2</t>
  </si>
  <si>
    <t>2&lt;-3</t>
  </si>
  <si>
    <t>3&lt;-4</t>
  </si>
  <si>
    <t>4&lt;-5</t>
  </si>
  <si>
    <t>minx.y == maxy.y</t>
  </si>
  <si>
    <t>maxy=maxx</t>
  </si>
  <si>
    <t>miny.x == maxx.x</t>
  </si>
  <si>
    <t>maxx = miny</t>
  </si>
  <si>
    <t>maxx.y == maxy.y</t>
  </si>
  <si>
    <t>maxy = maxx</t>
  </si>
  <si>
    <t>miny.x == minx.x</t>
  </si>
  <si>
    <t>minx = miny</t>
  </si>
  <si>
    <t>tangents</t>
  </si>
  <si>
    <t>on</t>
  </si>
  <si>
    <t>ma&lt;0</t>
  </si>
  <si>
    <t>mb&gt;0</t>
  </si>
  <si>
    <t>mc&lt;0</t>
  </si>
  <si>
    <t>m=mac if LR has max area</t>
  </si>
  <si>
    <t>m=-ma*(mc-mb)/(ma-mb)</t>
  </si>
  <si>
    <t>f(a)-&gt;B</t>
  </si>
  <si>
    <t>a.y = f(a).y</t>
  </si>
  <si>
    <t>g(b)-&gt;C</t>
  </si>
  <si>
    <t>b.x = g(b).x</t>
  </si>
  <si>
    <t>-ma&gt;=m&gt;=-mc&gt;0</t>
  </si>
  <si>
    <t>-ma&gt;=-mc</t>
  </si>
  <si>
    <t>find location and tangents of middle vertices of A, B, C</t>
  </si>
  <si>
    <t>ft</t>
  </si>
  <si>
    <t>gt</t>
  </si>
  <si>
    <t>h1/ht</t>
  </si>
  <si>
    <t>ff</t>
  </si>
  <si>
    <t>gf</t>
  </si>
  <si>
    <t>h0/hf</t>
  </si>
  <si>
    <t>b&gt;</t>
  </si>
  <si>
    <t>&lt;a</t>
  </si>
  <si>
    <t>&lt;c</t>
  </si>
  <si>
    <t>a&gt;</t>
  </si>
  <si>
    <t>&lt;b</t>
  </si>
  <si>
    <t>c&gt;</t>
  </si>
  <si>
    <t>choose a, b, c</t>
  </si>
  <si>
    <t>find tan of a, b, c</t>
  </si>
  <si>
    <t>calc m</t>
  </si>
  <si>
    <t>f(a)</t>
  </si>
  <si>
    <t>g(b)</t>
  </si>
  <si>
    <t>h</t>
  </si>
  <si>
    <t>ma</t>
  </si>
  <si>
    <t>mb</t>
  </si>
  <si>
    <t>mc</t>
  </si>
  <si>
    <t>mac</t>
  </si>
  <si>
    <t>ax</t>
  </si>
  <si>
    <t>ay</t>
  </si>
  <si>
    <t>bx</t>
  </si>
  <si>
    <t>by</t>
  </si>
  <si>
    <t>cx</t>
  </si>
  <si>
    <t>cy</t>
  </si>
  <si>
    <t>y'</t>
  </si>
  <si>
    <t>SLOPE'</t>
  </si>
  <si>
    <t>res</t>
  </si>
  <si>
    <t>T</t>
  </si>
  <si>
    <t>F</t>
  </si>
  <si>
    <t>?</t>
  </si>
  <si>
    <t>hT</t>
  </si>
  <si>
    <t>hF</t>
  </si>
  <si>
    <t>h1</t>
  </si>
  <si>
    <t>h0</t>
  </si>
  <si>
    <t>r_a</t>
  </si>
  <si>
    <t>r_b</t>
  </si>
  <si>
    <t>r_c</t>
  </si>
  <si>
    <t>cw</t>
  </si>
  <si>
    <t>ccw</t>
  </si>
  <si>
    <t>remove everything after b</t>
  </si>
  <si>
    <t>T remove everything before c</t>
  </si>
  <si>
    <t>T remove everything before b</t>
  </si>
  <si>
    <t>remove everything after a</t>
  </si>
  <si>
    <t>T remove before</t>
  </si>
  <si>
    <t>T- a is single point. b.y has to equal a.y</t>
  </si>
  <si>
    <t>T removal was correct for a. revert c. c.x =b.x</t>
  </si>
  <si>
    <t>px</t>
  </si>
  <si>
    <t>py</t>
  </si>
  <si>
    <t>pslope</t>
  </si>
  <si>
    <t>sx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</si>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</sst>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.00"/>
    <numFmt numFmtId="165" formatCode="0000"/>
    <numFmt numFmtId="166" formatCode="00"/>
    <numFmt numFmtId="167" formatCode="0.0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 Unicode MS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center"/>
    </xf>
    <xf numFmtId="0" fontId="0" fillId="3" borderId="0" xfId="0" applyFill="1"/>
    <xf numFmtId="0" fontId="1" fillId="0" borderId="0" xfId="1"/>
    <xf numFmtId="0" fontId="0" fillId="4" borderId="0" xfId="0" applyFill="1"/>
    <xf numFmtId="0" fontId="0" fillId="5" borderId="0" xfId="0" applyFill="1"/>
    <xf numFmtId="0" fontId="0" fillId="0" borderId="0" xfId="0" quotePrefix="1"/>
    <xf numFmtId="16" fontId="0" fillId="0" borderId="0" xfId="0" applyNumberFormat="1"/>
    <xf numFmtId="0" fontId="0" fillId="0" borderId="0" xfId="0" applyFill="1"/>
    <xf numFmtId="0" fontId="3" fillId="6" borderId="0" xfId="0" applyFont="1" applyFill="1"/>
    <xf numFmtId="0" fontId="0" fillId="0" borderId="0" xfId="0" applyFill="1" applyBorder="1"/>
    <xf numFmtId="0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0" fontId="0" fillId="7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NumberFormat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11" borderId="0" xfId="0" applyFill="1"/>
    <xf numFmtId="0" fontId="0" fillId="10" borderId="10" xfId="0" applyFill="1" applyBorder="1"/>
    <xf numFmtId="0" fontId="0" fillId="8" borderId="10" xfId="0" applyFill="1" applyBorder="1"/>
    <xf numFmtId="0" fontId="0" fillId="11" borderId="0" xfId="0" applyFill="1" applyBorder="1"/>
    <xf numFmtId="0" fontId="0" fillId="12" borderId="0" xfId="0" applyFill="1"/>
  </cellXfs>
  <cellStyles count="2">
    <cellStyle name="Hyperlink" xfId="1" builtinId="8"/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519959B-219F-4296-924D-FBE9AFEAF8AB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8B2-4B11-8154-E99F18374D4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4ADF55-EC7D-4315-AD09-3BBFD416AE8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8B2-4B11-8154-E99F18374D4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EFD874-6EDA-4E1B-8A68-B9C038079A0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8B2-4B11-8154-E99F18374D4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3A9CBF-4CDE-4A37-86F6-BCF890CA52F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8B2-4B11-8154-E99F18374D4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D1A4C47-BC75-4F57-9D50-59F076719D7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8B2-4B11-8154-E99F18374D4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56D83F-67D5-4309-B95C-168DFDE44AB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8B2-4B11-8154-E99F18374D4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11D17E0-E8CC-4DE7-AC99-E87BAD53922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8B2-4B11-8154-E99F18374D4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D037A2-A4C7-4FBE-9064-60867696665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8B2-4B11-8154-E99F18374D4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0318CF2-EF99-40C8-99CD-270D40F7EB5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8B2-4B11-8154-E99F18374D4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5FFBA1-0216-4BD9-936C-5C8D30D4BA3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8B2-4B11-8154-E99F18374D46}"/>
                </c:ext>
              </c:extLst>
            </c:dLbl>
            <c:dLbl>
              <c:idx val="10"/>
              <c:layout>
                <c:manualLayout>
                  <c:x val="1.3017127799736301E-2"/>
                  <c:y val="2.7454865321878043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B2-4B11-8154-E99F18374D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TwoCorners_1!$B$2:$B$12</c:f>
              <c:numCache>
                <c:formatCode>General</c:formatCode>
                <c:ptCount val="11"/>
                <c:pt idx="0">
                  <c:v>485</c:v>
                </c:pt>
                <c:pt idx="1">
                  <c:v>545</c:v>
                </c:pt>
                <c:pt idx="2">
                  <c:v>515</c:v>
                </c:pt>
                <c:pt idx="3">
                  <c:v>375</c:v>
                </c:pt>
                <c:pt idx="4">
                  <c:v>315</c:v>
                </c:pt>
                <c:pt idx="5">
                  <c:v>270</c:v>
                </c:pt>
                <c:pt idx="6">
                  <c:v>250</c:v>
                </c:pt>
                <c:pt idx="7">
                  <c:v>295</c:v>
                </c:pt>
                <c:pt idx="8">
                  <c:v>335</c:v>
                </c:pt>
                <c:pt idx="9">
                  <c:v>415</c:v>
                </c:pt>
                <c:pt idx="10">
                  <c:v>485</c:v>
                </c:pt>
              </c:numCache>
            </c:numRef>
          </c:xVal>
          <c:yVal>
            <c:numRef>
              <c:f>TwoCorners_1!$C$2:$C$12</c:f>
              <c:numCache>
                <c:formatCode>General</c:formatCode>
                <c:ptCount val="11"/>
                <c:pt idx="0">
                  <c:v>505</c:v>
                </c:pt>
                <c:pt idx="1">
                  <c:v>380</c:v>
                </c:pt>
                <c:pt idx="2">
                  <c:v>255</c:v>
                </c:pt>
                <c:pt idx="3">
                  <c:v>270</c:v>
                </c:pt>
                <c:pt idx="4">
                  <c:v>300</c:v>
                </c:pt>
                <c:pt idx="5">
                  <c:v>345</c:v>
                </c:pt>
                <c:pt idx="6">
                  <c:v>485</c:v>
                </c:pt>
                <c:pt idx="7">
                  <c:v>525</c:v>
                </c:pt>
                <c:pt idx="8">
                  <c:v>545</c:v>
                </c:pt>
                <c:pt idx="9">
                  <c:v>535</c:v>
                </c:pt>
                <c:pt idx="10">
                  <c:v>505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TwoCorners_1!$A$2:$A$12</c15:f>
                <c15:dlblRangeCache>
                  <c:ptCount val="11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4BA-406F-B941-0052538E4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824912"/>
        <c:axId val="308827536"/>
      </c:scatterChart>
      <c:valAx>
        <c:axId val="308824912"/>
        <c:scaling>
          <c:orientation val="minMax"/>
          <c:max val="800"/>
          <c:min val="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8827536"/>
        <c:crosses val="autoZero"/>
        <c:crossBetween val="midCat"/>
      </c:valAx>
      <c:valAx>
        <c:axId val="308827536"/>
        <c:scaling>
          <c:orientation val="maxMin"/>
          <c:max val="80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882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TwoCorners_1!$B$8:$B$10</c:f>
              <c:numCache>
                <c:formatCode>General</c:formatCode>
                <c:ptCount val="3"/>
                <c:pt idx="0">
                  <c:v>250</c:v>
                </c:pt>
                <c:pt idx="1">
                  <c:v>295</c:v>
                </c:pt>
                <c:pt idx="2">
                  <c:v>335</c:v>
                </c:pt>
              </c:numCache>
            </c:numRef>
          </c:xVal>
          <c:yVal>
            <c:numRef>
              <c:f>TwoCorners_1!$C$8:$C$10</c:f>
              <c:numCache>
                <c:formatCode>General</c:formatCode>
                <c:ptCount val="3"/>
                <c:pt idx="0">
                  <c:v>485</c:v>
                </c:pt>
                <c:pt idx="1">
                  <c:v>525</c:v>
                </c:pt>
                <c:pt idx="2">
                  <c:v>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D-46E8-A21F-706C669F60E7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(TwoCorners_1!$B$10:$B$11,TwoCorners_1!$B$2:$B$3)</c:f>
              <c:numCache>
                <c:formatCode>General</c:formatCode>
                <c:ptCount val="4"/>
                <c:pt idx="0">
                  <c:v>335</c:v>
                </c:pt>
                <c:pt idx="1">
                  <c:v>415</c:v>
                </c:pt>
                <c:pt idx="2">
                  <c:v>485</c:v>
                </c:pt>
                <c:pt idx="3">
                  <c:v>545</c:v>
                </c:pt>
              </c:numCache>
            </c:numRef>
          </c:xVal>
          <c:yVal>
            <c:numRef>
              <c:f>(TwoCorners_1!$C$10:$C$11,TwoCorners_1!$C$2:$C$3)</c:f>
              <c:numCache>
                <c:formatCode>General</c:formatCode>
                <c:ptCount val="4"/>
                <c:pt idx="0">
                  <c:v>545</c:v>
                </c:pt>
                <c:pt idx="1">
                  <c:v>535</c:v>
                </c:pt>
                <c:pt idx="2">
                  <c:v>505</c:v>
                </c:pt>
                <c:pt idx="3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D-46E8-A21F-706C669F60E7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TwoCorners_1!$B$3:$B$4</c:f>
              <c:numCache>
                <c:formatCode>General</c:formatCode>
                <c:ptCount val="2"/>
                <c:pt idx="0">
                  <c:v>545</c:v>
                </c:pt>
                <c:pt idx="1">
                  <c:v>515</c:v>
                </c:pt>
              </c:numCache>
            </c:numRef>
          </c:xVal>
          <c:yVal>
            <c:numRef>
              <c:f>TwoCorners_1!$C$3:$C$4</c:f>
              <c:numCache>
                <c:formatCode>General</c:formatCode>
                <c:ptCount val="2"/>
                <c:pt idx="0">
                  <c:v>380</c:v>
                </c:pt>
                <c:pt idx="1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D-46E8-A21F-706C669F60E7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TwoCorners_1!$B$4:$B$8</c:f>
              <c:numCache>
                <c:formatCode>General</c:formatCode>
                <c:ptCount val="5"/>
                <c:pt idx="0">
                  <c:v>515</c:v>
                </c:pt>
                <c:pt idx="1">
                  <c:v>375</c:v>
                </c:pt>
                <c:pt idx="2">
                  <c:v>315</c:v>
                </c:pt>
                <c:pt idx="3">
                  <c:v>270</c:v>
                </c:pt>
                <c:pt idx="4">
                  <c:v>250</c:v>
                </c:pt>
              </c:numCache>
            </c:numRef>
          </c:xVal>
          <c:yVal>
            <c:numRef>
              <c:f>TwoCorners_1!$C$4:$C$8</c:f>
              <c:numCache>
                <c:formatCode>General</c:formatCode>
                <c:ptCount val="5"/>
                <c:pt idx="0">
                  <c:v>255</c:v>
                </c:pt>
                <c:pt idx="1">
                  <c:v>270</c:v>
                </c:pt>
                <c:pt idx="2">
                  <c:v>300</c:v>
                </c:pt>
                <c:pt idx="3">
                  <c:v>345</c:v>
                </c:pt>
                <c:pt idx="4">
                  <c:v>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D-46E8-A21F-706C669F60E7}"/>
            </c:ext>
          </c:extLst>
        </c:ser>
        <c:ser>
          <c:idx val="4"/>
          <c:order val="4"/>
          <c:tx>
            <c:v>slopeD</c:v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TwoCorners_1!$B$16:$B$18</c:f>
              <c:numCache>
                <c:formatCode>General</c:formatCode>
                <c:ptCount val="3"/>
                <c:pt idx="0">
                  <c:v>220</c:v>
                </c:pt>
                <c:pt idx="1">
                  <c:v>270</c:v>
                </c:pt>
                <c:pt idx="2">
                  <c:v>320</c:v>
                </c:pt>
              </c:numCache>
            </c:numRef>
          </c:xVal>
          <c:yVal>
            <c:numRef>
              <c:f>TwoCorners_1!$C$16:$C$18</c:f>
              <c:numCache>
                <c:formatCode>General</c:formatCode>
                <c:ptCount val="3"/>
                <c:pt idx="0">
                  <c:v>382.2093023255814</c:v>
                </c:pt>
                <c:pt idx="1">
                  <c:v>345</c:v>
                </c:pt>
                <c:pt idx="2">
                  <c:v>307.7906976744186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10-4D90-B536-9660F828F80C}"/>
            </c:ext>
          </c:extLst>
        </c:ser>
        <c:ser>
          <c:idx val="5"/>
          <c:order val="5"/>
          <c:tx>
            <c:v>crossD</c:v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(TwoCorners_1!$B$17,TwoCorners_1!$B$20)</c:f>
              <c:numCache>
                <c:formatCode>General</c:formatCode>
                <c:ptCount val="2"/>
                <c:pt idx="0">
                  <c:v>270</c:v>
                </c:pt>
                <c:pt idx="1">
                  <c:v>470</c:v>
                </c:pt>
              </c:numCache>
            </c:numRef>
          </c:xVal>
          <c:yVal>
            <c:numRef>
              <c:f>(TwoCorners_1!$C$17,TwoCorners_1!$C$20)</c:f>
              <c:numCache>
                <c:formatCode>General</c:formatCode>
                <c:ptCount val="2"/>
                <c:pt idx="0">
                  <c:v>345</c:v>
                </c:pt>
                <c:pt idx="1">
                  <c:v>493.83720930232562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10-4D90-B536-9660F828F80C}"/>
            </c:ext>
          </c:extLst>
        </c:ser>
        <c:ser>
          <c:idx val="6"/>
          <c:order val="6"/>
          <c:tx>
            <c:v>slopeB</c:v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TwoCorners_1!$F$16:$F$18</c:f>
              <c:numCache>
                <c:formatCode>General</c:formatCode>
                <c:ptCount val="3"/>
                <c:pt idx="0">
                  <c:v>435</c:v>
                </c:pt>
                <c:pt idx="1">
                  <c:v>485</c:v>
                </c:pt>
                <c:pt idx="2">
                  <c:v>535</c:v>
                </c:pt>
              </c:numCache>
            </c:numRef>
          </c:xVal>
          <c:yVal>
            <c:numRef>
              <c:f>TwoCorners_1!$G$16:$G$18</c:f>
              <c:numCache>
                <c:formatCode>General</c:formatCode>
                <c:ptCount val="3"/>
                <c:pt idx="0">
                  <c:v>542.20930232558135</c:v>
                </c:pt>
                <c:pt idx="1">
                  <c:v>505</c:v>
                </c:pt>
                <c:pt idx="2">
                  <c:v>467.7906976744186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10-4D90-B536-9660F828F80C}"/>
            </c:ext>
          </c:extLst>
        </c:ser>
        <c:ser>
          <c:idx val="7"/>
          <c:order val="7"/>
          <c:tx>
            <c:v>crossB</c:v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(TwoCorners_1!$F$17,TwoCorners_1!$F$20)</c:f>
              <c:numCache>
                <c:formatCode>General</c:formatCode>
                <c:ptCount val="2"/>
                <c:pt idx="0">
                  <c:v>485</c:v>
                </c:pt>
                <c:pt idx="1">
                  <c:v>285</c:v>
                </c:pt>
              </c:numCache>
            </c:numRef>
          </c:xVal>
          <c:yVal>
            <c:numRef>
              <c:f>(TwoCorners_1!$G$17,TwoCorners_1!$G$20)</c:f>
              <c:numCache>
                <c:formatCode>General</c:formatCode>
                <c:ptCount val="2"/>
                <c:pt idx="0">
                  <c:v>505</c:v>
                </c:pt>
                <c:pt idx="1">
                  <c:v>356.16279069767438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10-4D90-B536-9660F828F80C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TwoCorners_1!$K$20</c:f>
              <c:numCache>
                <c:formatCode>General</c:formatCode>
                <c:ptCount val="1"/>
                <c:pt idx="0">
                  <c:v>297.5</c:v>
                </c:pt>
              </c:numCache>
            </c:numRef>
          </c:xVal>
          <c:yVal>
            <c:numRef>
              <c:f>TwoCorners_1!$K$21</c:f>
              <c:numCache>
                <c:formatCode>General</c:formatCode>
                <c:ptCount val="1"/>
                <c:pt idx="0">
                  <c:v>317.5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10-4D90-B536-9660F828F80C}"/>
            </c:ext>
          </c:extLst>
        </c:ser>
        <c:ser>
          <c:idx val="9"/>
          <c:order val="9"/>
          <c:tx>
            <c:v>square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TwoCorners_1!$J$23:$J$27</c:f>
              <c:numCache>
                <c:formatCode>General</c:formatCode>
                <c:ptCount val="5"/>
                <c:pt idx="0">
                  <c:v>297.5</c:v>
                </c:pt>
                <c:pt idx="1">
                  <c:v>297.5</c:v>
                </c:pt>
                <c:pt idx="2">
                  <c:v>485</c:v>
                </c:pt>
                <c:pt idx="3">
                  <c:v>485</c:v>
                </c:pt>
                <c:pt idx="4">
                  <c:v>297.5</c:v>
                </c:pt>
              </c:numCache>
            </c:numRef>
          </c:xVal>
          <c:yVal>
            <c:numRef>
              <c:f>TwoCorners_1!$K$23:$K$27</c:f>
              <c:numCache>
                <c:formatCode>General</c:formatCode>
                <c:ptCount val="5"/>
                <c:pt idx="0">
                  <c:v>317.5</c:v>
                </c:pt>
                <c:pt idx="1">
                  <c:v>505</c:v>
                </c:pt>
                <c:pt idx="2">
                  <c:v>505</c:v>
                </c:pt>
                <c:pt idx="3">
                  <c:v>317.5</c:v>
                </c:pt>
                <c:pt idx="4">
                  <c:v>317.5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10-4D90-B536-9660F828F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22944"/>
        <c:axId val="483125240"/>
      </c:scatterChart>
      <c:valAx>
        <c:axId val="483122944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5240"/>
        <c:crosses val="autoZero"/>
        <c:crossBetween val="midCat"/>
      </c:valAx>
      <c:valAx>
        <c:axId val="483125240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976-4F7A-920B-4FADAA81AE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8B914F0-F57F-4787-8527-41DCD249DD6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976-4F7A-920B-4FADAA81AE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47D12FF-0B7A-47D8-B120-134CC68361A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976-4F7A-920B-4FADAA81AE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2D468FA-3BB9-4E79-89C9-07A579D73AC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976-4F7A-920B-4FADAA81AE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AA66FA8-DA10-47D9-9014-22603D5E58D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976-4F7A-920B-4FADAA81AE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330BB34-2131-4428-A1D3-2A880510A165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976-4F7A-920B-4FADAA81AE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976-4F7A-920B-4FADAA81AE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TwoCorners_2!$B$2:$B$8</c:f>
              <c:numCache>
                <c:formatCode>General</c:formatCode>
                <c:ptCount val="7"/>
                <c:pt idx="0">
                  <c:v>285</c:v>
                </c:pt>
                <c:pt idx="1">
                  <c:v>470</c:v>
                </c:pt>
                <c:pt idx="2">
                  <c:v>530</c:v>
                </c:pt>
                <c:pt idx="3">
                  <c:v>495</c:v>
                </c:pt>
                <c:pt idx="4">
                  <c:v>390</c:v>
                </c:pt>
                <c:pt idx="5">
                  <c:v>270</c:v>
                </c:pt>
                <c:pt idx="6">
                  <c:v>285</c:v>
                </c:pt>
              </c:numCache>
            </c:numRef>
          </c:xVal>
          <c:yVal>
            <c:numRef>
              <c:f>TwoCorners_2!$C$2:$C$8</c:f>
              <c:numCache>
                <c:formatCode>General</c:formatCode>
                <c:ptCount val="7"/>
                <c:pt idx="0">
                  <c:v>320</c:v>
                </c:pt>
                <c:pt idx="1">
                  <c:v>275</c:v>
                </c:pt>
                <c:pt idx="2">
                  <c:v>340</c:v>
                </c:pt>
                <c:pt idx="3">
                  <c:v>480</c:v>
                </c:pt>
                <c:pt idx="4">
                  <c:v>525</c:v>
                </c:pt>
                <c:pt idx="5">
                  <c:v>495</c:v>
                </c:pt>
                <c:pt idx="6">
                  <c:v>320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TwoCorners_2!$A$2:$A$7</c15:f>
                <c15:dlblRangeCache>
                  <c:ptCount val="6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1976-4F7A-920B-4FADAA81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138680"/>
        <c:axId val="302137368"/>
      </c:scatterChart>
      <c:valAx>
        <c:axId val="302138680"/>
        <c:scaling>
          <c:orientation val="minMax"/>
          <c:max val="800"/>
          <c:min val="0"/>
        </c:scaling>
        <c:delete val="1"/>
        <c:axPos val="t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2137368"/>
        <c:crosses val="autoZero"/>
        <c:crossBetween val="midCat"/>
      </c:valAx>
      <c:valAx>
        <c:axId val="302137368"/>
        <c:scaling>
          <c:orientation val="maxMin"/>
          <c:max val="800"/>
          <c:min val="0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02138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(TwoCorners_2!$B$7:$B$8,TwoCorners_2!$B$3)</c:f>
              <c:numCache>
                <c:formatCode>General</c:formatCode>
                <c:ptCount val="3"/>
                <c:pt idx="0">
                  <c:v>270</c:v>
                </c:pt>
                <c:pt idx="1">
                  <c:v>285</c:v>
                </c:pt>
                <c:pt idx="2">
                  <c:v>470</c:v>
                </c:pt>
              </c:numCache>
            </c:numRef>
          </c:xVal>
          <c:yVal>
            <c:numRef>
              <c:f>(TwoCorners_2!$C$7:$C$8,TwoCorners_2!$C$3)</c:f>
              <c:numCache>
                <c:formatCode>General</c:formatCode>
                <c:ptCount val="3"/>
                <c:pt idx="0">
                  <c:v>495</c:v>
                </c:pt>
                <c:pt idx="1">
                  <c:v>320</c:v>
                </c:pt>
                <c:pt idx="2">
                  <c:v>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0-4FDB-8F1C-6507F55FC6F9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TwoCorners_2!$B$3:$B$4</c:f>
              <c:numCache>
                <c:formatCode>General</c:formatCode>
                <c:ptCount val="2"/>
                <c:pt idx="0">
                  <c:v>470</c:v>
                </c:pt>
                <c:pt idx="1">
                  <c:v>530</c:v>
                </c:pt>
              </c:numCache>
            </c:numRef>
          </c:xVal>
          <c:yVal>
            <c:numRef>
              <c:f>TwoCorners_2!$C$3:$C$4</c:f>
              <c:numCache>
                <c:formatCode>General</c:formatCode>
                <c:ptCount val="2"/>
                <c:pt idx="0">
                  <c:v>275</c:v>
                </c:pt>
                <c:pt idx="1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A0-4FDB-8F1C-6507F55FC6F9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TwoCorners_2!$B$4:$B$6</c:f>
              <c:numCache>
                <c:formatCode>General</c:formatCode>
                <c:ptCount val="3"/>
                <c:pt idx="0">
                  <c:v>530</c:v>
                </c:pt>
                <c:pt idx="1">
                  <c:v>495</c:v>
                </c:pt>
                <c:pt idx="2">
                  <c:v>390</c:v>
                </c:pt>
              </c:numCache>
            </c:numRef>
          </c:xVal>
          <c:yVal>
            <c:numRef>
              <c:f>TwoCorners_2!$C$4:$C$6</c:f>
              <c:numCache>
                <c:formatCode>General</c:formatCode>
                <c:ptCount val="3"/>
                <c:pt idx="0">
                  <c:v>340</c:v>
                </c:pt>
                <c:pt idx="1">
                  <c:v>480</c:v>
                </c:pt>
                <c:pt idx="2">
                  <c:v>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A0-4FDB-8F1C-6507F55FC6F9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TwoCorners_2!$B$6:$B$7</c:f>
              <c:numCache>
                <c:formatCode>General</c:formatCode>
                <c:ptCount val="2"/>
                <c:pt idx="0">
                  <c:v>390</c:v>
                </c:pt>
                <c:pt idx="1">
                  <c:v>270</c:v>
                </c:pt>
              </c:numCache>
            </c:numRef>
          </c:xVal>
          <c:yVal>
            <c:numRef>
              <c:f>TwoCorners_2!$C$6:$C$7</c:f>
              <c:numCache>
                <c:formatCode>General</c:formatCode>
                <c:ptCount val="2"/>
                <c:pt idx="0">
                  <c:v>525</c:v>
                </c:pt>
                <c:pt idx="1">
                  <c:v>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A0-4FDB-8F1C-6507F55FC6F9}"/>
            </c:ext>
          </c:extLst>
        </c:ser>
        <c:ser>
          <c:idx val="4"/>
          <c:order val="4"/>
          <c:tx>
            <c:v>slopeA</c:v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TwoCorners_2!$B$13:$B$15</c:f>
              <c:numCache>
                <c:formatCode>General</c:formatCode>
                <c:ptCount val="3"/>
                <c:pt idx="0">
                  <c:v>235</c:v>
                </c:pt>
                <c:pt idx="1">
                  <c:v>285</c:v>
                </c:pt>
                <c:pt idx="2">
                  <c:v>335</c:v>
                </c:pt>
              </c:numCache>
            </c:numRef>
          </c:xVal>
          <c:yVal>
            <c:numRef>
              <c:f>TwoCorners_2!$C$13:$C$15</c:f>
              <c:numCache>
                <c:formatCode>General</c:formatCode>
                <c:ptCount val="3"/>
                <c:pt idx="0">
                  <c:v>332.16216216216219</c:v>
                </c:pt>
                <c:pt idx="1">
                  <c:v>320</c:v>
                </c:pt>
                <c:pt idx="2">
                  <c:v>307.83783783783781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A0-4FDB-8F1C-6507F55FC6F9}"/>
            </c:ext>
          </c:extLst>
        </c:ser>
        <c:ser>
          <c:idx val="5"/>
          <c:order val="5"/>
          <c:tx>
            <c:v>crossA</c:v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(TwoCorners_2!$B$14,TwoCorners_2!$B$17)</c:f>
              <c:numCache>
                <c:formatCode>General</c:formatCode>
                <c:ptCount val="2"/>
                <c:pt idx="0">
                  <c:v>285</c:v>
                </c:pt>
                <c:pt idx="1">
                  <c:v>385</c:v>
                </c:pt>
              </c:numCache>
            </c:numRef>
          </c:xVal>
          <c:yVal>
            <c:numRef>
              <c:f>(TwoCorners_2!$C$14,TwoCorners_2!$C$17)</c:f>
              <c:numCache>
                <c:formatCode>General</c:formatCode>
                <c:ptCount val="2"/>
                <c:pt idx="0">
                  <c:v>320</c:v>
                </c:pt>
                <c:pt idx="1">
                  <c:v>344.32432432432432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A0-4FDB-8F1C-6507F55FC6F9}"/>
            </c:ext>
          </c:extLst>
        </c:ser>
        <c:ser>
          <c:idx val="6"/>
          <c:order val="6"/>
          <c:tx>
            <c:v>slopeC</c:v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TwoCorners_2!$F$13:$F$15</c:f>
              <c:numCache>
                <c:formatCode>General</c:formatCode>
                <c:ptCount val="3"/>
                <c:pt idx="0">
                  <c:v>445</c:v>
                </c:pt>
                <c:pt idx="1">
                  <c:v>495</c:v>
                </c:pt>
                <c:pt idx="2">
                  <c:v>545</c:v>
                </c:pt>
              </c:numCache>
            </c:numRef>
          </c:xVal>
          <c:yVal>
            <c:numRef>
              <c:f>TwoCorners_2!$G$13:$G$15</c:f>
              <c:numCache>
                <c:formatCode>General</c:formatCode>
                <c:ptCount val="3"/>
                <c:pt idx="0">
                  <c:v>680</c:v>
                </c:pt>
                <c:pt idx="1">
                  <c:v>480</c:v>
                </c:pt>
                <c:pt idx="2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A0-4FDB-8F1C-6507F55FC6F9}"/>
            </c:ext>
          </c:extLst>
        </c:ser>
        <c:ser>
          <c:idx val="7"/>
          <c:order val="7"/>
          <c:tx>
            <c:v>crossC</c:v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(TwoCorners_2!$F$14,TwoCorners_2!$F$17)</c:f>
              <c:numCache>
                <c:formatCode>General</c:formatCode>
                <c:ptCount val="2"/>
                <c:pt idx="0">
                  <c:v>495</c:v>
                </c:pt>
                <c:pt idx="1">
                  <c:v>295</c:v>
                </c:pt>
              </c:numCache>
            </c:numRef>
          </c:xVal>
          <c:yVal>
            <c:numRef>
              <c:f>(TwoCorners_2!$G$14,TwoCorners_2!$G$17)</c:f>
              <c:numCache>
                <c:formatCode>General</c:formatCode>
                <c:ptCount val="2"/>
                <c:pt idx="0">
                  <c:v>480</c:v>
                </c:pt>
                <c:pt idx="1">
                  <c:v>-320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A0-4FDB-8F1C-6507F55FC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241704"/>
        <c:axId val="372242032"/>
      </c:scatterChart>
      <c:valAx>
        <c:axId val="372241704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42032"/>
        <c:crosses val="autoZero"/>
        <c:crossBetween val="midCat"/>
      </c:valAx>
      <c:valAx>
        <c:axId val="372242032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4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D7A5952-C3AB-46AC-BDBE-A12D5E23725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984-42F6-BF66-DF694B2FDE1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CC5390B-9FB2-442D-B8B2-EB724E060D0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984-42F6-BF66-DF694B2FDE1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37BF41-E7A7-44FE-B177-BBFE2864A40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984-42F6-BF66-DF694B2FDE1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81BAC8C-7472-4C52-B5B6-60D0F9DDACB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984-42F6-BF66-DF694B2FDE1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8CDFB1B-A7D7-4B6B-BF76-28F18D51CFFF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984-42F6-BF66-DF694B2FDE1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F0E49C4-7844-4FD3-8825-BF275A704CA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984-42F6-BF66-DF694B2FDE1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984-42F6-BF66-DF694B2FDE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TwoCorners_3!$B$2:$B$8</c:f>
              <c:numCache>
                <c:formatCode>General</c:formatCode>
                <c:ptCount val="7"/>
                <c:pt idx="0">
                  <c:v>300</c:v>
                </c:pt>
                <c:pt idx="1">
                  <c:v>310</c:v>
                </c:pt>
                <c:pt idx="2">
                  <c:v>480</c:v>
                </c:pt>
                <c:pt idx="3">
                  <c:v>535</c:v>
                </c:pt>
                <c:pt idx="4">
                  <c:v>500</c:v>
                </c:pt>
                <c:pt idx="5">
                  <c:v>410</c:v>
                </c:pt>
                <c:pt idx="6">
                  <c:v>300</c:v>
                </c:pt>
              </c:numCache>
            </c:numRef>
          </c:xVal>
          <c:yVal>
            <c:numRef>
              <c:f>TwoCorners_3!$C$2:$C$8</c:f>
              <c:numCache>
                <c:formatCode>General</c:formatCode>
                <c:ptCount val="7"/>
                <c:pt idx="0">
                  <c:v>305</c:v>
                </c:pt>
                <c:pt idx="1">
                  <c:v>465</c:v>
                </c:pt>
                <c:pt idx="2">
                  <c:v>505</c:v>
                </c:pt>
                <c:pt idx="3">
                  <c:v>445</c:v>
                </c:pt>
                <c:pt idx="4">
                  <c:v>315</c:v>
                </c:pt>
                <c:pt idx="5">
                  <c:v>280</c:v>
                </c:pt>
                <c:pt idx="6">
                  <c:v>305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TwoCorners_3!$A$2:$A$7</c15:f>
                <c15:dlblRangeCache>
                  <c:ptCount val="6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EAC-4EE0-9D71-D042F4BD7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138680"/>
        <c:axId val="302137368"/>
      </c:scatterChart>
      <c:valAx>
        <c:axId val="302138680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37368"/>
        <c:crosses val="autoZero"/>
        <c:crossBetween val="midCat"/>
      </c:valAx>
      <c:valAx>
        <c:axId val="302137368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38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TwoCorners_3!$B$2:$B$3</c:f>
              <c:numCache>
                <c:formatCode>General</c:formatCode>
                <c:ptCount val="2"/>
                <c:pt idx="0">
                  <c:v>300</c:v>
                </c:pt>
                <c:pt idx="1">
                  <c:v>310</c:v>
                </c:pt>
              </c:numCache>
            </c:numRef>
          </c:xVal>
          <c:yVal>
            <c:numRef>
              <c:f>TwoCorners_3!$C$2:$C$3</c:f>
              <c:numCache>
                <c:formatCode>General</c:formatCode>
                <c:ptCount val="2"/>
                <c:pt idx="0">
                  <c:v>305</c:v>
                </c:pt>
                <c:pt idx="1">
                  <c:v>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C-4D5E-BCA0-61FFB3B02F46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TwoCorners_3!$B$3:$B$5</c:f>
              <c:numCache>
                <c:formatCode>General</c:formatCode>
                <c:ptCount val="3"/>
                <c:pt idx="0">
                  <c:v>310</c:v>
                </c:pt>
                <c:pt idx="1">
                  <c:v>480</c:v>
                </c:pt>
                <c:pt idx="2">
                  <c:v>535</c:v>
                </c:pt>
              </c:numCache>
            </c:numRef>
          </c:xVal>
          <c:yVal>
            <c:numRef>
              <c:f>TwoCorners_3!$C$3:$C$5</c:f>
              <c:numCache>
                <c:formatCode>General</c:formatCode>
                <c:ptCount val="3"/>
                <c:pt idx="0">
                  <c:v>465</c:v>
                </c:pt>
                <c:pt idx="1">
                  <c:v>505</c:v>
                </c:pt>
                <c:pt idx="2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C-4D5E-BCA0-61FFB3B02F46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TwoCorners_3!$B$5:$B$6</c:f>
              <c:numCache>
                <c:formatCode>General</c:formatCode>
                <c:ptCount val="2"/>
                <c:pt idx="0">
                  <c:v>535</c:v>
                </c:pt>
                <c:pt idx="1">
                  <c:v>500</c:v>
                </c:pt>
              </c:numCache>
            </c:numRef>
          </c:xVal>
          <c:yVal>
            <c:numRef>
              <c:f>TwoCorners_3!$C$5:$C$6</c:f>
              <c:numCache>
                <c:formatCode>General</c:formatCode>
                <c:ptCount val="2"/>
                <c:pt idx="0">
                  <c:v>445</c:v>
                </c:pt>
                <c:pt idx="1">
                  <c:v>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3C-4D5E-BCA0-61FFB3B02F46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TwoCorners_3!$B$6:$B$8</c:f>
              <c:numCache>
                <c:formatCode>General</c:formatCode>
                <c:ptCount val="3"/>
                <c:pt idx="0">
                  <c:v>500</c:v>
                </c:pt>
                <c:pt idx="1">
                  <c:v>410</c:v>
                </c:pt>
                <c:pt idx="2">
                  <c:v>300</c:v>
                </c:pt>
              </c:numCache>
            </c:numRef>
          </c:xVal>
          <c:yVal>
            <c:numRef>
              <c:f>TwoCorners_3!$C$6:$C$8</c:f>
              <c:numCache>
                <c:formatCode>General</c:formatCode>
                <c:ptCount val="3"/>
                <c:pt idx="0">
                  <c:v>315</c:v>
                </c:pt>
                <c:pt idx="1">
                  <c:v>280</c:v>
                </c:pt>
                <c:pt idx="2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3C-4D5E-BCA0-61FFB3B02F46}"/>
            </c:ext>
          </c:extLst>
        </c:ser>
        <c:ser>
          <c:idx val="4"/>
          <c:order val="4"/>
          <c:tx>
            <c:v>slopeA</c:v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TwoCorners_3!$B$13:$B$15</c:f>
              <c:numCache>
                <c:formatCode>General</c:formatCode>
                <c:ptCount val="3"/>
                <c:pt idx="0">
                  <c:v>260</c:v>
                </c:pt>
                <c:pt idx="1">
                  <c:v>310</c:v>
                </c:pt>
                <c:pt idx="2">
                  <c:v>360</c:v>
                </c:pt>
              </c:numCache>
            </c:numRef>
          </c:xVal>
          <c:yVal>
            <c:numRef>
              <c:f>TwoCorners_3!$C$13:$C$15</c:f>
              <c:numCache>
                <c:formatCode>General</c:formatCode>
                <c:ptCount val="3"/>
                <c:pt idx="0">
                  <c:v>453.23529411764707</c:v>
                </c:pt>
                <c:pt idx="1">
                  <c:v>465</c:v>
                </c:pt>
                <c:pt idx="2">
                  <c:v>476.76470588235293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6-4C4B-9E34-7F709917ABBA}"/>
            </c:ext>
          </c:extLst>
        </c:ser>
        <c:ser>
          <c:idx val="5"/>
          <c:order val="5"/>
          <c:tx>
            <c:v>crossA</c:v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(TwoCorners_3!$B$14,TwoCorners_3!$B$17)</c:f>
              <c:numCache>
                <c:formatCode>General</c:formatCode>
                <c:ptCount val="2"/>
                <c:pt idx="0">
                  <c:v>310</c:v>
                </c:pt>
                <c:pt idx="1">
                  <c:v>410</c:v>
                </c:pt>
              </c:numCache>
            </c:numRef>
          </c:xVal>
          <c:yVal>
            <c:numRef>
              <c:f>(TwoCorners_3!$C$14,TwoCorners_3!$C$17)</c:f>
              <c:numCache>
                <c:formatCode>General</c:formatCode>
                <c:ptCount val="2"/>
                <c:pt idx="0">
                  <c:v>465</c:v>
                </c:pt>
                <c:pt idx="1">
                  <c:v>441.47058823529414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F6-4C4B-9E34-7F709917ABBA}"/>
            </c:ext>
          </c:extLst>
        </c:ser>
        <c:ser>
          <c:idx val="6"/>
          <c:order val="6"/>
          <c:tx>
            <c:v>slopeC</c:v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TwoCorners_3!$F$13:$F$15</c:f>
              <c:numCache>
                <c:formatCode>General</c:formatCode>
                <c:ptCount val="3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</c:numCache>
            </c:numRef>
          </c:xVal>
          <c:yVal>
            <c:numRef>
              <c:f>TwoCorners_3!$G$13:$G$15</c:f>
              <c:numCache>
                <c:formatCode>General</c:formatCode>
                <c:ptCount val="3"/>
                <c:pt idx="0">
                  <c:v>295.55555555555554</c:v>
                </c:pt>
                <c:pt idx="1">
                  <c:v>315</c:v>
                </c:pt>
                <c:pt idx="2">
                  <c:v>334.44444444444446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F6-4C4B-9E34-7F709917ABBA}"/>
            </c:ext>
          </c:extLst>
        </c:ser>
        <c:ser>
          <c:idx val="7"/>
          <c:order val="7"/>
          <c:tx>
            <c:v>crossC</c:v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(TwoCorners_3!$F$14,TwoCorners_3!$F$17)</c:f>
              <c:numCache>
                <c:formatCode>General</c:formatCode>
                <c:ptCount val="2"/>
                <c:pt idx="0">
                  <c:v>500</c:v>
                </c:pt>
                <c:pt idx="1">
                  <c:v>300</c:v>
                </c:pt>
              </c:numCache>
            </c:numRef>
          </c:xVal>
          <c:yVal>
            <c:numRef>
              <c:f>(TwoCorners_3!$G$14,TwoCorners_3!$G$17)</c:f>
              <c:numCache>
                <c:formatCode>General</c:formatCode>
                <c:ptCount val="2"/>
                <c:pt idx="0">
                  <c:v>315</c:v>
                </c:pt>
                <c:pt idx="1">
                  <c:v>392.77777777777777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6-4C4B-9E34-7F709917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241704"/>
        <c:axId val="372242032"/>
      </c:scatterChart>
      <c:valAx>
        <c:axId val="372241704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42032"/>
        <c:crosses val="autoZero"/>
        <c:crossBetween val="midCat"/>
      </c:valAx>
      <c:valAx>
        <c:axId val="372242032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4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BB577E7-0243-4D4D-9F62-6ECB30B4BE38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BD-46EB-8535-30A5CC3C739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924C74-582E-46D4-8B16-722557FE6A8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D-46EB-8535-30A5CC3C739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6AA656D-326B-43A1-B9BA-7809EB92879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EBD-46EB-8535-30A5CC3C739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72809CF-E7ED-4E76-810D-73905C38532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EBD-46EB-8535-30A5CC3C739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10C715-02D3-4342-B73B-06577E505C6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EBD-46EB-8535-30A5CC3C739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BD-46EB-8535-30A5CC3C73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TwoCorners_4!$B$2:$B$7</c:f>
              <c:numCache>
                <c:formatCode>General</c:formatCode>
                <c:ptCount val="6"/>
                <c:pt idx="0">
                  <c:v>365</c:v>
                </c:pt>
                <c:pt idx="1">
                  <c:v>455</c:v>
                </c:pt>
                <c:pt idx="2">
                  <c:v>480</c:v>
                </c:pt>
                <c:pt idx="3">
                  <c:v>410</c:v>
                </c:pt>
                <c:pt idx="4">
                  <c:v>335</c:v>
                </c:pt>
                <c:pt idx="5">
                  <c:v>365</c:v>
                </c:pt>
              </c:numCache>
            </c:numRef>
          </c:xVal>
          <c:yVal>
            <c:numRef>
              <c:f>TwoCorners_4!$C$2:$C$7</c:f>
              <c:numCache>
                <c:formatCode>General</c:formatCode>
                <c:ptCount val="6"/>
                <c:pt idx="0">
                  <c:v>395</c:v>
                </c:pt>
                <c:pt idx="1">
                  <c:v>420</c:v>
                </c:pt>
                <c:pt idx="2">
                  <c:v>355</c:v>
                </c:pt>
                <c:pt idx="3">
                  <c:v>275</c:v>
                </c:pt>
                <c:pt idx="4">
                  <c:v>315</c:v>
                </c:pt>
                <c:pt idx="5">
                  <c:v>395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TwoCorners_4!$A$2:$A$6</c15:f>
                <c15:dlblRangeCache>
                  <c:ptCount val="5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4A8-49CE-B770-4E09F943D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TwoCorners_4!$B$3:$B$4</c:f>
              <c:numCache>
                <c:formatCode>General</c:formatCode>
                <c:ptCount val="2"/>
                <c:pt idx="0">
                  <c:v>455</c:v>
                </c:pt>
                <c:pt idx="1">
                  <c:v>480</c:v>
                </c:pt>
              </c:numCache>
            </c:numRef>
          </c:xVal>
          <c:yVal>
            <c:numRef>
              <c:f>TwoCorners_4!$C$3:$C$4</c:f>
              <c:numCache>
                <c:formatCode>General</c:formatCode>
                <c:ptCount val="2"/>
                <c:pt idx="0">
                  <c:v>420</c:v>
                </c:pt>
                <c:pt idx="1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8-409F-B352-44ABDD2955A9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TwoCorners_4!$B$4:$B$5</c:f>
              <c:numCache>
                <c:formatCode>General</c:formatCode>
                <c:ptCount val="2"/>
                <c:pt idx="0">
                  <c:v>480</c:v>
                </c:pt>
                <c:pt idx="1">
                  <c:v>410</c:v>
                </c:pt>
              </c:numCache>
            </c:numRef>
          </c:xVal>
          <c:yVal>
            <c:numRef>
              <c:f>TwoCorners_4!$C$4:$C$5</c:f>
              <c:numCache>
                <c:formatCode>General</c:formatCode>
                <c:ptCount val="2"/>
                <c:pt idx="0">
                  <c:v>355</c:v>
                </c:pt>
                <c:pt idx="1">
                  <c:v>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88-409F-B352-44ABDD2955A9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TwoCorners_4!$B$5:$B$6</c:f>
              <c:numCache>
                <c:formatCode>General</c:formatCode>
                <c:ptCount val="2"/>
                <c:pt idx="0">
                  <c:v>410</c:v>
                </c:pt>
                <c:pt idx="1">
                  <c:v>335</c:v>
                </c:pt>
              </c:numCache>
            </c:numRef>
          </c:xVal>
          <c:yVal>
            <c:numRef>
              <c:f>TwoCorners_4!$C$5:$C$6</c:f>
              <c:numCache>
                <c:formatCode>General</c:formatCode>
                <c:ptCount val="2"/>
                <c:pt idx="0">
                  <c:v>275</c:v>
                </c:pt>
                <c:pt idx="1">
                  <c:v>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88-409F-B352-44ABDD2955A9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(TwoCorners_4!$B$6,TwoCorners_4!$B$2:$B$3)</c:f>
              <c:numCache>
                <c:formatCode>General</c:formatCode>
                <c:ptCount val="3"/>
                <c:pt idx="0">
                  <c:v>335</c:v>
                </c:pt>
                <c:pt idx="1">
                  <c:v>365</c:v>
                </c:pt>
                <c:pt idx="2">
                  <c:v>455</c:v>
                </c:pt>
              </c:numCache>
            </c:numRef>
          </c:xVal>
          <c:yVal>
            <c:numRef>
              <c:f>(TwoCorners_4!$C$6,TwoCorners_4!$C$2:$C$3)</c:f>
              <c:numCache>
                <c:formatCode>General</c:formatCode>
                <c:ptCount val="3"/>
                <c:pt idx="0">
                  <c:v>315</c:v>
                </c:pt>
                <c:pt idx="1">
                  <c:v>395</c:v>
                </c:pt>
                <c:pt idx="2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88-409F-B352-44ABDD2955A9}"/>
            </c:ext>
          </c:extLst>
        </c:ser>
        <c:ser>
          <c:idx val="4"/>
          <c:order val="4"/>
          <c:tx>
            <c:strRef>
              <c:f>TwoCorners_4!$A$19</c:f>
              <c:strCache>
                <c:ptCount val="1"/>
                <c:pt idx="0">
                  <c:v>TanA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TwoCorners_4!$B$19:$B$21</c:f>
              <c:numCache>
                <c:formatCode>General</c:formatCode>
                <c:ptCount val="3"/>
                <c:pt idx="0">
                  <c:v>315</c:v>
                </c:pt>
                <c:pt idx="1">
                  <c:v>365</c:v>
                </c:pt>
                <c:pt idx="2">
                  <c:v>415</c:v>
                </c:pt>
              </c:numCache>
            </c:numRef>
          </c:xVal>
          <c:yVal>
            <c:numRef>
              <c:f>TwoCorners_4!$C$19:$C$21</c:f>
              <c:numCache>
                <c:formatCode>General</c:formatCode>
                <c:ptCount val="3"/>
                <c:pt idx="0">
                  <c:v>337.85714285714289</c:v>
                </c:pt>
                <c:pt idx="1">
                  <c:v>395</c:v>
                </c:pt>
                <c:pt idx="2">
                  <c:v>452.14285714285711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88-409F-B352-44ABDD2955A9}"/>
            </c:ext>
          </c:extLst>
        </c:ser>
        <c:ser>
          <c:idx val="5"/>
          <c:order val="5"/>
          <c:tx>
            <c:strRef>
              <c:f>TwoCorners_4!$A$22</c:f>
              <c:strCache>
                <c:ptCount val="1"/>
                <c:pt idx="0">
                  <c:v>TanC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TwoCorners_4!$B$22:$B$24</c:f>
              <c:numCache>
                <c:formatCode>General</c:formatCode>
                <c:ptCount val="3"/>
                <c:pt idx="0">
                  <c:v>390</c:v>
                </c:pt>
                <c:pt idx="1">
                  <c:v>440</c:v>
                </c:pt>
                <c:pt idx="2">
                  <c:v>490</c:v>
                </c:pt>
              </c:numCache>
            </c:numRef>
          </c:xVal>
          <c:yVal>
            <c:numRef>
              <c:f>TwoCorners_4!$C$22:$C$24</c:f>
              <c:numCache>
                <c:formatCode>General</c:formatCode>
                <c:ptCount val="3"/>
                <c:pt idx="0">
                  <c:v>252.14285714285714</c:v>
                </c:pt>
                <c:pt idx="1">
                  <c:v>309.28571428571428</c:v>
                </c:pt>
                <c:pt idx="2">
                  <c:v>366.42857142857144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88-409F-B352-44ABDD2955A9}"/>
            </c:ext>
          </c:extLst>
        </c:ser>
        <c:ser>
          <c:idx val="6"/>
          <c:order val="6"/>
          <c:tx>
            <c:v>Rect1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TwoCorners_4!$B$13:$B$17</c:f>
              <c:numCache>
                <c:formatCode>General</c:formatCode>
                <c:ptCount val="5"/>
                <c:pt idx="0">
                  <c:v>365</c:v>
                </c:pt>
                <c:pt idx="1">
                  <c:v>365</c:v>
                </c:pt>
                <c:pt idx="2">
                  <c:v>440</c:v>
                </c:pt>
                <c:pt idx="3">
                  <c:v>440</c:v>
                </c:pt>
                <c:pt idx="4">
                  <c:v>365</c:v>
                </c:pt>
              </c:numCache>
            </c:numRef>
          </c:xVal>
          <c:yVal>
            <c:numRef>
              <c:f>TwoCorners_4!$C$13:$C$17</c:f>
              <c:numCache>
                <c:formatCode>General</c:formatCode>
                <c:ptCount val="5"/>
                <c:pt idx="0">
                  <c:v>395</c:v>
                </c:pt>
                <c:pt idx="1">
                  <c:v>309.28571428571428</c:v>
                </c:pt>
                <c:pt idx="2">
                  <c:v>309.28571428571428</c:v>
                </c:pt>
                <c:pt idx="3">
                  <c:v>395</c:v>
                </c:pt>
                <c:pt idx="4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988-409F-B352-44ABDD2955A9}"/>
            </c:ext>
          </c:extLst>
        </c:ser>
        <c:ser>
          <c:idx val="7"/>
          <c:order val="7"/>
          <c:tx>
            <c:strRef>
              <c:f>TwoCorners_4!$A$28</c:f>
              <c:strCache>
                <c:ptCount val="1"/>
                <c:pt idx="0">
                  <c:v>cross1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TwoCorners_4!$B$28:$B$29</c:f>
              <c:numCache>
                <c:formatCode>General</c:formatCode>
                <c:ptCount val="2"/>
                <c:pt idx="0">
                  <c:v>365</c:v>
                </c:pt>
                <c:pt idx="1">
                  <c:v>465</c:v>
                </c:pt>
              </c:numCache>
            </c:numRef>
          </c:xVal>
          <c:yVal>
            <c:numRef>
              <c:f>TwoCorners_4!$C$28:$C$29</c:f>
              <c:numCache>
                <c:formatCode>General</c:formatCode>
                <c:ptCount val="2"/>
                <c:pt idx="0">
                  <c:v>395</c:v>
                </c:pt>
                <c:pt idx="1">
                  <c:v>280.71428571428572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F-497B-A579-E152118E7D35}"/>
            </c:ext>
          </c:extLst>
        </c:ser>
        <c:ser>
          <c:idx val="8"/>
          <c:order val="8"/>
          <c:tx>
            <c:strRef>
              <c:f>TwoCorners_4!$A$30</c:f>
              <c:strCache>
                <c:ptCount val="1"/>
                <c:pt idx="0">
                  <c:v>cross2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TwoCorners_4!$B$30:$B$31</c:f>
              <c:numCache>
                <c:formatCode>General</c:formatCode>
                <c:ptCount val="2"/>
                <c:pt idx="0">
                  <c:v>440</c:v>
                </c:pt>
                <c:pt idx="1">
                  <c:v>340</c:v>
                </c:pt>
              </c:numCache>
            </c:numRef>
          </c:xVal>
          <c:yVal>
            <c:numRef>
              <c:f>TwoCorners_4!$C$30:$C$31</c:f>
              <c:numCache>
                <c:formatCode>General</c:formatCode>
                <c:ptCount val="2"/>
                <c:pt idx="0">
                  <c:v>309.28571428571428</c:v>
                </c:pt>
                <c:pt idx="1">
                  <c:v>423.57142857142856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4F-497B-A579-E152118E7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607565011820363E-2"/>
                  <c:y val="-1.5384615384615385E-2"/>
                </c:manualLayout>
              </c:layout>
              <c:tx>
                <c:rich>
                  <a:bodyPr/>
                  <a:lstStyle/>
                  <a:p>
                    <a:fld id="{8C09A12F-4CA3-4C9D-BCF6-0280E72900F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2EC-4E24-96A6-DC9E4EDBA7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3CE399A-6020-4F32-985C-6A0C26B4060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2EC-4E24-96A6-DC9E4EDBA790}"/>
                </c:ext>
              </c:extLst>
            </c:dLbl>
            <c:dLbl>
              <c:idx val="2"/>
              <c:layout>
                <c:manualLayout>
                  <c:x val="-2.2695035460992909E-2"/>
                  <c:y val="3.0769230769230771E-2"/>
                </c:manualLayout>
              </c:layout>
              <c:tx>
                <c:rich>
                  <a:bodyPr/>
                  <a:lstStyle/>
                  <a:p>
                    <a:fld id="{FF704B1A-1F8E-45E9-92BC-B4775267712D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2EC-4E24-96A6-DC9E4EDBA79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4E1B3B-5F3E-4434-A74E-1BF420312B83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2EC-4E24-96A6-DC9E4EDBA79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9B8F34A-5D63-4918-9A5E-6F369073225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2EC-4E24-96A6-DC9E4EDBA79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20ABF6A-1565-4328-A465-854B8928B8C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2EC-4E24-96A6-DC9E4EDBA790}"/>
                </c:ext>
              </c:extLst>
            </c:dLbl>
            <c:dLbl>
              <c:idx val="6"/>
              <c:layout>
                <c:manualLayout>
                  <c:x val="3.7825059101654498E-3"/>
                  <c:y val="-1.282051282051282E-2"/>
                </c:manualLayout>
              </c:layout>
              <c:tx>
                <c:rich>
                  <a:bodyPr/>
                  <a:lstStyle/>
                  <a:p>
                    <a:fld id="{66F82741-A478-4FA0-B7F9-421F4B8E505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2EC-4E24-96A6-DC9E4EDBA7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TwoCorners_5!$B$2:$B$8</c:f>
              <c:numCache>
                <c:formatCode>General</c:formatCode>
                <c:ptCount val="7"/>
                <c:pt idx="0">
                  <c:v>200</c:v>
                </c:pt>
                <c:pt idx="1">
                  <c:v>150</c:v>
                </c:pt>
                <c:pt idx="2">
                  <c:v>300</c:v>
                </c:pt>
                <c:pt idx="3">
                  <c:v>600</c:v>
                </c:pt>
                <c:pt idx="4">
                  <c:v>650</c:v>
                </c:pt>
                <c:pt idx="5">
                  <c:v>500</c:v>
                </c:pt>
                <c:pt idx="6">
                  <c:v>200</c:v>
                </c:pt>
              </c:numCache>
            </c:numRef>
          </c:xVal>
          <c:yVal>
            <c:numRef>
              <c:f>TwoCorners_5!$C$2:$C$8</c:f>
              <c:numCache>
                <c:formatCode>General</c:formatCode>
                <c:ptCount val="7"/>
                <c:pt idx="0">
                  <c:v>200</c:v>
                </c:pt>
                <c:pt idx="1">
                  <c:v>250</c:v>
                </c:pt>
                <c:pt idx="2">
                  <c:v>400</c:v>
                </c:pt>
                <c:pt idx="3">
                  <c:v>500</c:v>
                </c:pt>
                <c:pt idx="4">
                  <c:v>450</c:v>
                </c:pt>
                <c:pt idx="5">
                  <c:v>300</c:v>
                </c:pt>
                <c:pt idx="6">
                  <c:v>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TwoCorners_5!$A$2:$A$8</c15:f>
                <c15:dlblRangeCache>
                  <c:ptCount val="7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2-42C0-B8F8-93212DE4D136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TwoCorners_5!$B$16:$B$20</c:f>
              <c:numCache>
                <c:formatCode>General</c:formatCode>
                <c:ptCount val="5"/>
                <c:pt idx="0">
                  <c:v>300</c:v>
                </c:pt>
                <c:pt idx="1">
                  <c:v>500</c:v>
                </c:pt>
                <c:pt idx="2">
                  <c:v>500</c:v>
                </c:pt>
                <c:pt idx="3">
                  <c:v>300</c:v>
                </c:pt>
                <c:pt idx="4">
                  <c:v>300</c:v>
                </c:pt>
              </c:numCache>
            </c:numRef>
          </c:xVal>
          <c:yVal>
            <c:numRef>
              <c:f>TwoCorners_5!$C$16:$C$20</c:f>
              <c:numCache>
                <c:formatCode>General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300</c:v>
                </c:pt>
                <c:pt idx="3">
                  <c:v>300</c:v>
                </c:pt>
                <c:pt idx="4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2-42C0-B8F8-93212DE4D13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TwoCorners_5!$S$24:$S$25</c:f>
              <c:numCache>
                <c:formatCode>General</c:formatCode>
                <c:ptCount val="2"/>
                <c:pt idx="0">
                  <c:v>300</c:v>
                </c:pt>
                <c:pt idx="1">
                  <c:v>500</c:v>
                </c:pt>
              </c:numCache>
            </c:numRef>
          </c:xVal>
          <c:yVal>
            <c:numRef>
              <c:f>TwoCorners_5!$T$24:$T$25</c:f>
              <c:numCache>
                <c:formatCode>General</c:formatCode>
                <c:ptCount val="2"/>
                <c:pt idx="0">
                  <c:v>400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12-42C0-B8F8-93212DE4D13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TwoCorners_5!$S$27:$S$28</c:f>
              <c:numCache>
                <c:formatCode>General</c:formatCode>
                <c:ptCount val="2"/>
                <c:pt idx="0">
                  <c:v>500</c:v>
                </c:pt>
                <c:pt idx="1">
                  <c:v>300</c:v>
                </c:pt>
              </c:numCache>
            </c:numRef>
          </c:xVal>
          <c:yVal>
            <c:numRef>
              <c:f>TwoCorners_5!$T$27:$T$28</c:f>
              <c:numCache>
                <c:formatCode>General</c:formatCode>
                <c:ptCount val="2"/>
                <c:pt idx="0">
                  <c:v>300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12-42C0-B8F8-93212DE4D136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TwoCorners_5!$S$30:$S$31</c:f>
              <c:numCache>
                <c:formatCode>General</c:formatCode>
                <c:ptCount val="2"/>
                <c:pt idx="0">
                  <c:v>300</c:v>
                </c:pt>
                <c:pt idx="1">
                  <c:v>500</c:v>
                </c:pt>
              </c:numCache>
            </c:numRef>
          </c:xVal>
          <c:yVal>
            <c:numRef>
              <c:f>TwoCorners_5!$T$30:$T$31</c:f>
              <c:numCache>
                <c:formatCode>General</c:formatCode>
                <c:ptCount val="2"/>
                <c:pt idx="0">
                  <c:v>400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12-42C0-B8F8-93212DE4D13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TwoCorners_5!$S$34:$S$35</c:f>
              <c:numCache>
                <c:formatCode>General</c:formatCode>
                <c:ptCount val="2"/>
                <c:pt idx="0">
                  <c:v>200</c:v>
                </c:pt>
                <c:pt idx="1">
                  <c:v>700</c:v>
                </c:pt>
              </c:numCache>
            </c:numRef>
          </c:xVal>
          <c:yVal>
            <c:numRef>
              <c:f>TwoCorners_5!$T$34:$T$35</c:f>
              <c:numCache>
                <c:formatCode>General</c:formatCode>
                <c:ptCount val="2"/>
                <c:pt idx="0">
                  <c:v>200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EC-4E24-96A6-DC9E4EDBA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54256"/>
        <c:axId val="311754912"/>
      </c:scatterChart>
      <c:valAx>
        <c:axId val="31175425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54912"/>
        <c:crosses val="autoZero"/>
        <c:crossBetween val="midCat"/>
      </c:valAx>
      <c:valAx>
        <c:axId val="311754912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5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BB6FDCC-D080-42EE-9CEE-AB585205754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445-49C4-9350-BD0B3DBB97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70A289-8838-45E0-B320-012E6523E54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45-49C4-9350-BD0B3DBB97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A474080-1B06-4BA2-908E-AF0319B7ACD4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445-49C4-9350-BD0B3DBB97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8F3287-B7D8-4CB3-B8EF-3A7412F337B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445-49C4-9350-BD0B3DBB97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D8FD30F-985A-4A22-893D-109EBB91220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445-49C4-9350-BD0B3DBB97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45-49C4-9350-BD0B3DBB9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TwoCorners_6!$B$2:$B$7</c:f>
              <c:numCache>
                <c:formatCode>General</c:formatCode>
                <c:ptCount val="6"/>
                <c:pt idx="0">
                  <c:v>365</c:v>
                </c:pt>
                <c:pt idx="1">
                  <c:v>450</c:v>
                </c:pt>
                <c:pt idx="2">
                  <c:v>550</c:v>
                </c:pt>
                <c:pt idx="3">
                  <c:v>295</c:v>
                </c:pt>
                <c:pt idx="4">
                  <c:v>300</c:v>
                </c:pt>
                <c:pt idx="5">
                  <c:v>365</c:v>
                </c:pt>
              </c:numCache>
            </c:numRef>
          </c:xVal>
          <c:yVal>
            <c:numRef>
              <c:f>TwoCorners_6!$C$2:$C$7</c:f>
              <c:numCache>
                <c:formatCode>General</c:formatCode>
                <c:ptCount val="6"/>
                <c:pt idx="0">
                  <c:v>395</c:v>
                </c:pt>
                <c:pt idx="1">
                  <c:v>450</c:v>
                </c:pt>
                <c:pt idx="2">
                  <c:v>455</c:v>
                </c:pt>
                <c:pt idx="3">
                  <c:v>150</c:v>
                </c:pt>
                <c:pt idx="4">
                  <c:v>300</c:v>
                </c:pt>
                <c:pt idx="5">
                  <c:v>395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TwoCorners_6!$A$2:$A$6</c15:f>
                <c15:dlblRangeCache>
                  <c:ptCount val="5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F445-49C4-9350-BD0B3DBB9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(TwoCorners_6!$B$5:$B$7,TwoCorners_6!$B$3:$B$4)</c:f>
              <c:numCache>
                <c:formatCode>General</c:formatCode>
                <c:ptCount val="5"/>
                <c:pt idx="0">
                  <c:v>295</c:v>
                </c:pt>
                <c:pt idx="1">
                  <c:v>300</c:v>
                </c:pt>
                <c:pt idx="2">
                  <c:v>365</c:v>
                </c:pt>
                <c:pt idx="3">
                  <c:v>450</c:v>
                </c:pt>
                <c:pt idx="4">
                  <c:v>550</c:v>
                </c:pt>
              </c:numCache>
            </c:numRef>
          </c:xVal>
          <c:yVal>
            <c:numRef>
              <c:f>(TwoCorners_6!$C$5:$C$7,TwoCorners_6!$C$3:$C$4)</c:f>
              <c:numCache>
                <c:formatCode>General</c:formatCode>
                <c:ptCount val="5"/>
                <c:pt idx="0">
                  <c:v>150</c:v>
                </c:pt>
                <c:pt idx="1">
                  <c:v>300</c:v>
                </c:pt>
                <c:pt idx="2">
                  <c:v>395</c:v>
                </c:pt>
                <c:pt idx="3">
                  <c:v>450</c:v>
                </c:pt>
                <c:pt idx="4">
                  <c:v>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B9-4960-9CDD-DD28B4CA3D6B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TwoCorners_6!$B$4:$B$5</c:f>
              <c:numCache>
                <c:formatCode>General</c:formatCode>
                <c:ptCount val="2"/>
                <c:pt idx="0">
                  <c:v>550</c:v>
                </c:pt>
                <c:pt idx="1">
                  <c:v>295</c:v>
                </c:pt>
              </c:numCache>
            </c:numRef>
          </c:xVal>
          <c:yVal>
            <c:numRef>
              <c:f>TwoCorners_6!$C$4:$C$5</c:f>
              <c:numCache>
                <c:formatCode>General</c:formatCode>
                <c:ptCount val="2"/>
                <c:pt idx="0">
                  <c:v>455</c:v>
                </c:pt>
                <c:pt idx="1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B9-4960-9CDD-DD28B4CA3D6B}"/>
            </c:ext>
          </c:extLst>
        </c:ser>
        <c:ser>
          <c:idx val="9"/>
          <c:order val="9"/>
          <c:tx>
            <c:v>Rect2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TwoCorners_6!$G$18:$G$22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360.2</c:v>
                </c:pt>
                <c:pt idx="3">
                  <c:v>360.2</c:v>
                </c:pt>
                <c:pt idx="4">
                  <c:v>300</c:v>
                </c:pt>
              </c:numCache>
            </c:numRef>
          </c:xVal>
          <c:yVal>
            <c:numRef>
              <c:f>TwoCorners_6!$H$18:$H$22</c:f>
              <c:numCache>
                <c:formatCode>General</c:formatCode>
                <c:ptCount val="5"/>
                <c:pt idx="0">
                  <c:v>300</c:v>
                </c:pt>
                <c:pt idx="1">
                  <c:v>227.98431372549018</c:v>
                </c:pt>
                <c:pt idx="2">
                  <c:v>227.98431372549018</c:v>
                </c:pt>
                <c:pt idx="3">
                  <c:v>300</c:v>
                </c:pt>
                <c:pt idx="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B9-4960-9CDD-DD28B4CA3D6B}"/>
            </c:ext>
          </c:extLst>
        </c:ser>
        <c:ser>
          <c:idx val="10"/>
          <c:order val="10"/>
          <c:tx>
            <c:strRef>
              <c:f>TwoCorners_6!$F$24</c:f>
              <c:strCache>
                <c:ptCount val="1"/>
                <c:pt idx="0">
                  <c:v>TanA2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TwoCorners_6!$G$24:$G$26</c:f>
              <c:numCache>
                <c:formatCode>General</c:formatCode>
                <c:ptCount val="3"/>
                <c:pt idx="0">
                  <c:v>250</c:v>
                </c:pt>
                <c:pt idx="1">
                  <c:v>300</c:v>
                </c:pt>
                <c:pt idx="2">
                  <c:v>350</c:v>
                </c:pt>
              </c:numCache>
            </c:numRef>
          </c:xVal>
          <c:yVal>
            <c:numRef>
              <c:f>TwoCorners_6!$H$24:$H$26</c:f>
              <c:numCache>
                <c:formatCode>General</c:formatCode>
                <c:ptCount val="3"/>
                <c:pt idx="0">
                  <c:v>240.19607843137254</c:v>
                </c:pt>
                <c:pt idx="1">
                  <c:v>300</c:v>
                </c:pt>
                <c:pt idx="2">
                  <c:v>359.80392156862746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B9-4960-9CDD-DD28B4CA3D6B}"/>
            </c:ext>
          </c:extLst>
        </c:ser>
        <c:ser>
          <c:idx val="11"/>
          <c:order val="11"/>
          <c:tx>
            <c:strRef>
              <c:f>TwoCorners_6!$F$27</c:f>
              <c:strCache>
                <c:ptCount val="1"/>
                <c:pt idx="0">
                  <c:v>TanC2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TwoCorners_6!$G$27:$G$29</c:f>
              <c:numCache>
                <c:formatCode>General</c:formatCode>
                <c:ptCount val="3"/>
                <c:pt idx="0">
                  <c:v>310.2</c:v>
                </c:pt>
                <c:pt idx="1">
                  <c:v>360.2</c:v>
                </c:pt>
                <c:pt idx="2">
                  <c:v>410.2</c:v>
                </c:pt>
              </c:numCache>
            </c:numRef>
          </c:xVal>
          <c:yVal>
            <c:numRef>
              <c:f>TwoCorners_6!$H$27:$H$29</c:f>
              <c:numCache>
                <c:formatCode>General</c:formatCode>
                <c:ptCount val="3"/>
                <c:pt idx="0">
                  <c:v>168.18039215686272</c:v>
                </c:pt>
                <c:pt idx="1">
                  <c:v>227.98431372549018</c:v>
                </c:pt>
                <c:pt idx="2">
                  <c:v>287.78823529411761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DB9-4960-9CDD-DD28B4CA3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b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TwoCorners_6!$B$4:$B$5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550</c:v>
                      </c:pt>
                      <c:pt idx="1">
                        <c:v>295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TwoCorners_6!$C$4:$C$5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455</c:v>
                      </c:pt>
                      <c:pt idx="1">
                        <c:v>150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DB9-4960-9CDD-DD28B4CA3D6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(TwoCorners_6!$B$6,TwoCorners_6!$B$2:$B$3)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365</c:v>
                      </c:pt>
                      <c:pt idx="2">
                        <c:v>450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(TwoCorners_6!$C$6,TwoCorners_6!$C$2:$C$3)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300</c:v>
                      </c:pt>
                      <c:pt idx="1">
                        <c:v>395</c:v>
                      </c:pt>
                      <c:pt idx="2">
                        <c:v>450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B9-4960-9CDD-DD28B4CA3D6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TwoCorners_6!$A$24</c15:sqref>
                        </c15:formulaRef>
                      </c:ext>
                    </c:extLst>
                    <c:strCache>
                      <c:ptCount val="1"/>
                      <c:pt idx="0">
                        <c:v>TanA1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TwoCorners_6!$B$24:$B$26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315</c:v>
                      </c:pt>
                      <c:pt idx="1">
                        <c:v>365</c:v>
                      </c:pt>
                      <c:pt idx="2">
                        <c:v>415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TwoCorners_6!$C$24:$C$26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335.19607843137254</c:v>
                      </c:pt>
                      <c:pt idx="1">
                        <c:v>395</c:v>
                      </c:pt>
                      <c:pt idx="2">
                        <c:v>454.80392156862746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DB9-4960-9CDD-DD28B4CA3D6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TwoCorners_6!$A$27</c15:sqref>
                        </c15:formulaRef>
                      </c:ext>
                    </c:extLst>
                    <c:strCache>
                      <c:ptCount val="1"/>
                      <c:pt idx="0">
                        <c:v>TanC1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TwoCorners_6!$B$27:$B$29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382.42</c:v>
                      </c:pt>
                      <c:pt idx="1">
                        <c:v>432.42</c:v>
                      </c:pt>
                      <c:pt idx="2">
                        <c:v>482.42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TwoCorners_6!$C$27:$C$29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254.56117647058824</c:v>
                      </c:pt>
                      <c:pt idx="1">
                        <c:v>314.3650980392157</c:v>
                      </c:pt>
                      <c:pt idx="2">
                        <c:v>374.16901960784315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DB9-4960-9CDD-DD28B4CA3D6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Rect1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TwoCorners_6!$B$18:$B$22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365</c:v>
                      </c:pt>
                      <c:pt idx="1">
                        <c:v>365</c:v>
                      </c:pt>
                      <c:pt idx="2">
                        <c:v>432.42</c:v>
                      </c:pt>
                      <c:pt idx="3">
                        <c:v>432.42</c:v>
                      </c:pt>
                      <c:pt idx="4">
                        <c:v>365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TwoCorners_6!$C$18:$C$22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395</c:v>
                      </c:pt>
                      <c:pt idx="1">
                        <c:v>314.3650980392157</c:v>
                      </c:pt>
                      <c:pt idx="2">
                        <c:v>314.3650980392157</c:v>
                      </c:pt>
                      <c:pt idx="3">
                        <c:v>395</c:v>
                      </c:pt>
                      <c:pt idx="4">
                        <c:v>395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DB9-4960-9CDD-DD28B4CA3D6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TwoCorners_6!$A$33</c15:sqref>
                        </c15:formulaRef>
                      </c:ext>
                    </c:extLst>
                    <c:strCache>
                      <c:ptCount val="1"/>
                      <c:pt idx="0">
                        <c:v>crossA1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TwoCorners_6!$B$33:$B$34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365</c:v>
                      </c:pt>
                      <c:pt idx="1">
                        <c:v>465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TwoCorners_6!$C$33:$C$34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395</c:v>
                      </c:pt>
                      <c:pt idx="1">
                        <c:v>275.39215686274508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DB9-4960-9CDD-DD28B4CA3D6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TwoCorners_6!$A$35</c15:sqref>
                        </c15:formulaRef>
                      </c:ext>
                    </c:extLst>
                    <c:strCache>
                      <c:ptCount val="1"/>
                      <c:pt idx="0">
                        <c:v>crossC1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TwoCorners_6!$B$35:$B$36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432.42</c:v>
                      </c:pt>
                      <c:pt idx="1">
                        <c:v>332.42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TwoCorners_6!$C$35:$C$36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314.3650980392157</c:v>
                      </c:pt>
                      <c:pt idx="1">
                        <c:v>433.97294117647061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DB9-4960-9CDD-DD28B4CA3D6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TwoCorners_6!$F$33</c15:sqref>
                        </c15:formulaRef>
                      </c:ext>
                    </c:extLst>
                    <c:strCache>
                      <c:ptCount val="1"/>
                      <c:pt idx="0">
                        <c:v>crossA2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TwoCorners_6!$G$33:$G$34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300</c:v>
                      </c:pt>
                      <c:pt idx="1">
                        <c:v>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TwoCorners_6!$H$33:$H$34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300</c:v>
                      </c:pt>
                      <c:pt idx="1">
                        <c:v>180.39215686274508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DB9-4960-9CDD-DD28B4CA3D6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TwoCorners_6!$F$35</c15:sqref>
                        </c15:formulaRef>
                      </c:ext>
                    </c:extLst>
                    <c:strCache>
                      <c:ptCount val="1"/>
                      <c:pt idx="0">
                        <c:v>crossC2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TwoCorners_6!$G$35:$G$36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360.2</c:v>
                      </c:pt>
                      <c:pt idx="1">
                        <c:v>260.2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TwoCorners_6!$H$35:$H$36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227.98431372549018</c:v>
                      </c:pt>
                      <c:pt idx="1">
                        <c:v>347.59215686274507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DB9-4960-9CDD-DD28B4CA3D6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Rect3</c:v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TwoCorners_6!$L$18:$L$22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450</c:v>
                      </c:pt>
                      <c:pt idx="1">
                        <c:v>450</c:v>
                      </c:pt>
                      <c:pt idx="2">
                        <c:v>497.9</c:v>
                      </c:pt>
                      <c:pt idx="3">
                        <c:v>497.9</c:v>
                      </c:pt>
                      <c:pt idx="4">
                        <c:v>450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TwoCorners_6!$M$18:$M$22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450</c:v>
                      </c:pt>
                      <c:pt idx="1">
                        <c:v>392.68431372549014</c:v>
                      </c:pt>
                      <c:pt idx="2">
                        <c:v>392.68431372549014</c:v>
                      </c:pt>
                      <c:pt idx="3">
                        <c:v>450</c:v>
                      </c:pt>
                      <c:pt idx="4">
                        <c:v>450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DB9-4960-9CDD-DD28B4CA3D6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TwoCorners_6!$K$24</c15:sqref>
                        </c15:formulaRef>
                      </c:ext>
                    </c:extLst>
                    <c:strCache>
                      <c:ptCount val="1"/>
                      <c:pt idx="0">
                        <c:v>TanA3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TwoCorners_6!$L$24:$L$26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400</c:v>
                      </c:pt>
                      <c:pt idx="1">
                        <c:v>450</c:v>
                      </c:pt>
                      <c:pt idx="2">
                        <c:v>500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TwoCorners_6!$M$24:$M$26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390.19607843137254</c:v>
                      </c:pt>
                      <c:pt idx="1">
                        <c:v>450</c:v>
                      </c:pt>
                      <c:pt idx="2">
                        <c:v>509.80392156862746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DB9-4960-9CDD-DD28B4CA3D6B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TwoCorners_6!$K$27</c15:sqref>
                        </c15:formulaRef>
                      </c:ext>
                    </c:extLst>
                    <c:strCache>
                      <c:ptCount val="1"/>
                      <c:pt idx="0">
                        <c:v>TanC3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TwoCorners_6!$L$27:$L$29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447.9</c:v>
                      </c:pt>
                      <c:pt idx="1">
                        <c:v>497.9</c:v>
                      </c:pt>
                      <c:pt idx="2">
                        <c:v>547.9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TwoCorners_6!$M$27:$M$29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332.88039215686268</c:v>
                      </c:pt>
                      <c:pt idx="1">
                        <c:v>392.68431372549014</c:v>
                      </c:pt>
                      <c:pt idx="2">
                        <c:v>452.4882352941176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DB9-4960-9CDD-DD28B4CA3D6B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TwoCorners_6!$K$33</c15:sqref>
                        </c15:formulaRef>
                      </c:ext>
                    </c:extLst>
                    <c:strCache>
                      <c:ptCount val="1"/>
                      <c:pt idx="0">
                        <c:v>crossA3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TwoCorners_6!$L$33:$L$34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450</c:v>
                      </c:pt>
                      <c:pt idx="1">
                        <c:v>550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TwoCorners_6!$M$33:$M$34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450</c:v>
                      </c:pt>
                      <c:pt idx="1">
                        <c:v>330.39215686274508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DB9-4960-9CDD-DD28B4CA3D6B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TwoCorners_6!$K$35</c15:sqref>
                        </c15:formulaRef>
                      </c:ext>
                    </c:extLst>
                    <c:strCache>
                      <c:ptCount val="1"/>
                      <c:pt idx="0">
                        <c:v>crossC3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TwoCorners_6!$L$35:$L$36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497.9</c:v>
                      </c:pt>
                      <c:pt idx="1">
                        <c:v>397.9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TwoCorners_6!$M$35:$M$36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392.68431372549014</c:v>
                      </c:pt>
                      <c:pt idx="1">
                        <c:v>512.29215686274506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DB9-4960-9CDD-DD28B4CA3D6B}"/>
                  </c:ext>
                </c:extLst>
              </c15:ser>
            </c15:filteredScatterSeries>
          </c:ext>
        </c:extLst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C3-4467-9A50-F16CBDFC41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525A41-802B-4D6C-8342-48ACD4BA4721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DC3-4467-9A50-F16CBDFC41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86F05DC-A8A2-4500-8746-96A2B921AB9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DC3-4467-9A50-F16CBDFC41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C4EEE4D-7149-43BE-BEF7-FB409463989E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DC3-4467-9A50-F16CBDFC41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D9B454-3B54-4F3B-8099-80EC2DC1987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DC3-4467-9A50-F16CBDFC41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E0564AA-F072-4D1E-AA1C-0C785FA7C5C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DC3-4467-9A50-F16CBDFC41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DC3-4467-9A50-F16CBDFC41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TwoCorners_7!$B$2:$B$8</c:f>
              <c:numCache>
                <c:formatCode>General</c:formatCode>
                <c:ptCount val="7"/>
                <c:pt idx="0">
                  <c:v>420</c:v>
                </c:pt>
                <c:pt idx="1">
                  <c:v>475</c:v>
                </c:pt>
                <c:pt idx="2">
                  <c:v>500</c:v>
                </c:pt>
                <c:pt idx="3">
                  <c:v>500</c:v>
                </c:pt>
                <c:pt idx="4">
                  <c:v>250</c:v>
                </c:pt>
                <c:pt idx="5">
                  <c:v>350</c:v>
                </c:pt>
                <c:pt idx="6">
                  <c:v>420</c:v>
                </c:pt>
              </c:numCache>
            </c:numRef>
          </c:xVal>
          <c:yVal>
            <c:numRef>
              <c:f>TwoCorners_7!$C$2:$C$8</c:f>
              <c:numCache>
                <c:formatCode>General</c:formatCode>
                <c:ptCount val="7"/>
                <c:pt idx="0">
                  <c:v>475</c:v>
                </c:pt>
                <c:pt idx="1">
                  <c:v>400</c:v>
                </c:pt>
                <c:pt idx="2">
                  <c:v>300</c:v>
                </c:pt>
                <c:pt idx="3">
                  <c:v>150</c:v>
                </c:pt>
                <c:pt idx="4">
                  <c:v>500</c:v>
                </c:pt>
                <c:pt idx="5">
                  <c:v>500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TwoCorners_7!$A$2:$A$7</c15:f>
                <c15:dlblRangeCache>
                  <c:ptCount val="6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DC3-4467-9A50-F16CBDFC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TwoCorners_7!$B$3:$B$4</c:f>
              <c:numCache>
                <c:formatCode>General</c:formatCode>
                <c:ptCount val="2"/>
                <c:pt idx="0">
                  <c:v>475</c:v>
                </c:pt>
                <c:pt idx="1">
                  <c:v>500</c:v>
                </c:pt>
              </c:numCache>
            </c:numRef>
          </c:xVal>
          <c:yVal>
            <c:numRef>
              <c:f>TwoCorners_7!$C$3:$C$4</c:f>
              <c:numCache>
                <c:formatCode>General</c:formatCode>
                <c:ptCount val="2"/>
                <c:pt idx="0">
                  <c:v>400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7-47FC-AB14-FEBBBC5BD791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TwoCorners_7!$B$4:$B$5</c:f>
              <c:numCache>
                <c:formatCode>General</c:formatCode>
                <c:ptCount val="2"/>
                <c:pt idx="0">
                  <c:v>500</c:v>
                </c:pt>
                <c:pt idx="1">
                  <c:v>500</c:v>
                </c:pt>
              </c:numCache>
            </c:numRef>
          </c:xVal>
          <c:yVal>
            <c:numRef>
              <c:f>TwoCorners_7!$C$4:$C$5</c:f>
              <c:numCache>
                <c:formatCode>General</c:formatCode>
                <c:ptCount val="2"/>
                <c:pt idx="0">
                  <c:v>300</c:v>
                </c:pt>
                <c:pt idx="1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77-47FC-AB14-FEBBBC5BD791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TwoCorners_7!$B$5:$B$6</c:f>
              <c:numCache>
                <c:formatCode>General</c:formatCode>
                <c:ptCount val="2"/>
                <c:pt idx="0">
                  <c:v>500</c:v>
                </c:pt>
                <c:pt idx="1">
                  <c:v>250</c:v>
                </c:pt>
              </c:numCache>
            </c:numRef>
          </c:xVal>
          <c:yVal>
            <c:numRef>
              <c:f>TwoCorners_7!$C$5:$C$6</c:f>
              <c:numCache>
                <c:formatCode>General</c:formatCode>
                <c:ptCount val="2"/>
                <c:pt idx="0">
                  <c:v>150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77-47FC-AB14-FEBBBC5BD791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(TwoCorners_7!$B$6,TwoCorners_7!$B$2:$B$3)</c:f>
              <c:numCache>
                <c:formatCode>General</c:formatCode>
                <c:ptCount val="3"/>
                <c:pt idx="0">
                  <c:v>250</c:v>
                </c:pt>
                <c:pt idx="1">
                  <c:v>420</c:v>
                </c:pt>
                <c:pt idx="2">
                  <c:v>475</c:v>
                </c:pt>
              </c:numCache>
            </c:numRef>
          </c:xVal>
          <c:yVal>
            <c:numRef>
              <c:f>(TwoCorners_7!$C$6,TwoCorners_7!$C$2:$C$3)</c:f>
              <c:numCache>
                <c:formatCode>General</c:formatCode>
                <c:ptCount val="3"/>
                <c:pt idx="0">
                  <c:v>500</c:v>
                </c:pt>
                <c:pt idx="1">
                  <c:v>475</c:v>
                </c:pt>
                <c:pt idx="2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77-47FC-AB14-FEBBBC5BD791}"/>
            </c:ext>
          </c:extLst>
        </c:ser>
        <c:ser>
          <c:idx val="4"/>
          <c:order val="4"/>
          <c:tx>
            <c:strRef>
              <c:f>TwoCorners_7!$A$21</c:f>
              <c:strCache>
                <c:ptCount val="1"/>
                <c:pt idx="0">
                  <c:v>TanA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TwoCorners_7!$B$21:$B$23</c:f>
              <c:numCache>
                <c:formatCode>General</c:formatCode>
                <c:ptCount val="3"/>
                <c:pt idx="0">
                  <c:v>315</c:v>
                </c:pt>
                <c:pt idx="1">
                  <c:v>365</c:v>
                </c:pt>
                <c:pt idx="2">
                  <c:v>415</c:v>
                </c:pt>
              </c:numCache>
            </c:numRef>
          </c:xVal>
          <c:yVal>
            <c:numRef>
              <c:f>TwoCorners_7!$C$21:$C$23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77-47FC-AB14-FEBBBC5BD791}"/>
            </c:ext>
          </c:extLst>
        </c:ser>
        <c:ser>
          <c:idx val="5"/>
          <c:order val="5"/>
          <c:tx>
            <c:strRef>
              <c:f>TwoCorners_7!$A$24</c:f>
              <c:strCache>
                <c:ptCount val="1"/>
                <c:pt idx="0">
                  <c:v>TanC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TwoCorners_7!$B$24:$B$26</c:f>
              <c:numCache>
                <c:formatCode>General</c:formatCode>
                <c:ptCount val="3"/>
                <c:pt idx="0">
                  <c:v>385</c:v>
                </c:pt>
                <c:pt idx="1">
                  <c:v>435</c:v>
                </c:pt>
                <c:pt idx="2">
                  <c:v>485</c:v>
                </c:pt>
              </c:numCache>
            </c:numRef>
          </c:xVal>
          <c:yVal>
            <c:numRef>
              <c:f>TwoCorners_7!$C$24:$C$26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77-47FC-AB14-FEBBBC5BD791}"/>
            </c:ext>
          </c:extLst>
        </c:ser>
        <c:ser>
          <c:idx val="6"/>
          <c:order val="6"/>
          <c:tx>
            <c:v>Rect1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TwoCorners_7!$B$15:$B$19</c:f>
              <c:numCache>
                <c:formatCode>General</c:formatCode>
                <c:ptCount val="5"/>
                <c:pt idx="0">
                  <c:v>365</c:v>
                </c:pt>
                <c:pt idx="1">
                  <c:v>365</c:v>
                </c:pt>
                <c:pt idx="2">
                  <c:v>435</c:v>
                </c:pt>
                <c:pt idx="3">
                  <c:v>435</c:v>
                </c:pt>
                <c:pt idx="4">
                  <c:v>365</c:v>
                </c:pt>
              </c:numCache>
            </c:numRef>
          </c:xVal>
          <c:yVal>
            <c:numRef>
              <c:f>TwoCorners_7!$C$15:$C$19</c:f>
              <c:numCache>
                <c:formatCode>General</c:formatCode>
                <c:ptCount val="5"/>
                <c:pt idx="0">
                  <c:v>395</c:v>
                </c:pt>
                <c:pt idx="1">
                  <c:v>0</c:v>
                </c:pt>
                <c:pt idx="2">
                  <c:v>0</c:v>
                </c:pt>
                <c:pt idx="3">
                  <c:v>395</c:v>
                </c:pt>
                <c:pt idx="4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77-47FC-AB14-FEBBBC5BD791}"/>
            </c:ext>
          </c:extLst>
        </c:ser>
        <c:ser>
          <c:idx val="7"/>
          <c:order val="7"/>
          <c:tx>
            <c:strRef>
              <c:f>TwoCorners_7!$A$30</c:f>
              <c:strCache>
                <c:ptCount val="1"/>
                <c:pt idx="0">
                  <c:v>cross1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TwoCorners_7!$B$30:$B$31</c:f>
              <c:numCache>
                <c:formatCode>General</c:formatCode>
                <c:ptCount val="2"/>
                <c:pt idx="0">
                  <c:v>365</c:v>
                </c:pt>
                <c:pt idx="1">
                  <c:v>465</c:v>
                </c:pt>
              </c:numCache>
            </c:numRef>
          </c:xVal>
          <c:yVal>
            <c:numRef>
              <c:f>TwoCorners_7!$C$30:$C$31</c:f>
              <c:numCache>
                <c:formatCode>General</c:formatCode>
                <c:ptCount val="2"/>
                <c:pt idx="0">
                  <c:v>395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77-47FC-AB14-FEBBBC5BD791}"/>
            </c:ext>
          </c:extLst>
        </c:ser>
        <c:ser>
          <c:idx val="8"/>
          <c:order val="8"/>
          <c:tx>
            <c:strRef>
              <c:f>TwoCorners_7!$A$32</c:f>
              <c:strCache>
                <c:ptCount val="1"/>
                <c:pt idx="0">
                  <c:v>cross2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TwoCorners_7!$B$32:$B$33</c:f>
              <c:numCache>
                <c:formatCode>General</c:formatCode>
                <c:ptCount val="2"/>
                <c:pt idx="0">
                  <c:v>435</c:v>
                </c:pt>
                <c:pt idx="1">
                  <c:v>335</c:v>
                </c:pt>
              </c:numCache>
            </c:numRef>
          </c:xVal>
          <c:yVal>
            <c:numRef>
              <c:f>TwoCorners_7!$C$32:$C$33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77-47FC-AB14-FEBBBC5BD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832CFD5-C1E4-42BA-B35F-C3B661977BD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3B3-4D6F-B3BF-36538CD41E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2F8269-61FD-4260-9F86-DB233CAC4F47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3B3-4D6F-B3BF-36538CD41E7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0711B3-9E04-4BCD-89A1-D5D27D6CD9EA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3B3-4D6F-B3BF-36538CD41E7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EEC7CC-B0B7-464C-9ADE-3E12A6AAEF12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3B3-4D6F-B3BF-36538CD41E7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B3-4D6F-B3BF-36538CD41E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Square!$B$2:$B$6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600</c:v>
                </c:pt>
                <c:pt idx="3">
                  <c:v>600</c:v>
                </c:pt>
                <c:pt idx="4">
                  <c:v>200</c:v>
                </c:pt>
              </c:numCache>
            </c:numRef>
          </c:xVal>
          <c:yVal>
            <c:numRef>
              <c:f>Square!$C$2:$C$6</c:f>
              <c:numCache>
                <c:formatCode>General</c:formatCode>
                <c:ptCount val="5"/>
                <c:pt idx="0">
                  <c:v>200</c:v>
                </c:pt>
                <c:pt idx="1">
                  <c:v>600</c:v>
                </c:pt>
                <c:pt idx="2">
                  <c:v>600</c:v>
                </c:pt>
                <c:pt idx="3">
                  <c:v>200</c:v>
                </c:pt>
                <c:pt idx="4">
                  <c:v>200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Square!$A$2:$A$5</c15:f>
                <c15:dlblRangeCache>
                  <c:ptCount val="4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33F-4981-B977-FC9518D64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09272"/>
        <c:axId val="361714848"/>
      </c:scatterChart>
      <c:valAx>
        <c:axId val="361709272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14848"/>
        <c:crosses val="autoZero"/>
        <c:crossBetween val="midCat"/>
      </c:valAx>
      <c:valAx>
        <c:axId val="361714848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09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239266763145272E-2"/>
                  <c:y val="-4.5584045584045373E-3"/>
                </c:manualLayout>
              </c:layout>
              <c:tx>
                <c:rich>
                  <a:bodyPr/>
                  <a:lstStyle/>
                  <a:p>
                    <a:fld id="{51B5145C-CC30-44AA-88E6-DBAE69A492F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206-4F26-B5BF-3533EA57B6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59D59D-186A-4B86-8A3A-672308FBE79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206-4F26-B5BF-3533EA57B6F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42455B9-245D-4713-B5DE-579F3F49703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206-4F26-B5BF-3533EA57B6F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F00DAAC-4542-41E3-8CBB-64DB11A39BB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206-4F26-B5BF-3533EA57B6FE}"/>
                </c:ext>
              </c:extLst>
            </c:dLbl>
            <c:dLbl>
              <c:idx val="4"/>
              <c:layout>
                <c:manualLayout>
                  <c:x val="7.7182826821031612E-3"/>
                  <c:y val="-6.8376068376068376E-3"/>
                </c:manualLayout>
              </c:layout>
              <c:tx>
                <c:rich>
                  <a:bodyPr/>
                  <a:lstStyle/>
                  <a:p>
                    <a:fld id="{09F80506-2A63-4713-BB44-3F80B5621A6B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6-4F26-B5BF-3533EA57B6F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206-4F26-B5BF-3533EA57B6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Sheet6!$B$2:$B$7</c:f>
              <c:numCache>
                <c:formatCode>General</c:formatCode>
                <c:ptCount val="6"/>
                <c:pt idx="0">
                  <c:v>400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400</c:v>
                </c:pt>
              </c:numCache>
            </c:numRef>
          </c:xVal>
          <c:yVal>
            <c:numRef>
              <c:f>Sheet6!$C$2:$C$7</c:f>
              <c:numCache>
                <c:formatCode>General</c:formatCode>
                <c:ptCount val="6"/>
                <c:pt idx="0">
                  <c:v>100</c:v>
                </c:pt>
                <c:pt idx="1">
                  <c:v>400</c:v>
                </c:pt>
                <c:pt idx="2">
                  <c:v>700</c:v>
                </c:pt>
                <c:pt idx="3">
                  <c:v>400</c:v>
                </c:pt>
                <c:pt idx="4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Sheet6!$A$2:$A$6</c15:f>
                <c15:dlblRangeCache>
                  <c:ptCount val="5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BFB-4C2F-9DAA-585DE5C17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Sheet6!$B$3:$B$4</c:f>
              <c:numCache>
                <c:formatCode>General</c:formatCode>
                <c:ptCount val="2"/>
                <c:pt idx="0">
                  <c:v>200</c:v>
                </c:pt>
                <c:pt idx="1">
                  <c:v>400</c:v>
                </c:pt>
              </c:numCache>
            </c:numRef>
          </c:xVal>
          <c:yVal>
            <c:numRef>
              <c:f>Sheet6!$C$3:$C$4</c:f>
              <c:numCache>
                <c:formatCode>General</c:formatCode>
                <c:ptCount val="2"/>
                <c:pt idx="0">
                  <c:v>400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B-43BC-8D8F-6E0C6BCF58D1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Sheet6!$B$4:$B$5</c:f>
              <c:numCache>
                <c:formatCode>General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xVal>
          <c:yVal>
            <c:numRef>
              <c:f>Sheet6!$C$4:$C$5</c:f>
              <c:numCache>
                <c:formatCode>General</c:formatCode>
                <c:ptCount val="2"/>
                <c:pt idx="0">
                  <c:v>700</c:v>
                </c:pt>
                <c:pt idx="1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FB-43BC-8D8F-6E0C6BCF58D1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Sheet6!$B$5:$B$6</c:f>
              <c:numCache>
                <c:formatCode>General</c:formatCode>
                <c:ptCount val="2"/>
                <c:pt idx="0">
                  <c:v>600</c:v>
                </c:pt>
                <c:pt idx="1">
                  <c:v>400</c:v>
                </c:pt>
              </c:numCache>
            </c:numRef>
          </c:xVal>
          <c:yVal>
            <c:numRef>
              <c:f>Sheet6!$C$5:$C$6</c:f>
              <c:numCache>
                <c:formatCode>General</c:formatCode>
                <c:ptCount val="2"/>
                <c:pt idx="0">
                  <c:v>400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FB-43BC-8D8F-6E0C6BCF58D1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(Sheet6!$B$6,Sheet6!$B$2:$B$3)</c:f>
              <c:numCache>
                <c:formatCode>General</c:formatCode>
                <c:ptCount val="3"/>
                <c:pt idx="0">
                  <c:v>400</c:v>
                </c:pt>
                <c:pt idx="1">
                  <c:v>400</c:v>
                </c:pt>
                <c:pt idx="2">
                  <c:v>200</c:v>
                </c:pt>
              </c:numCache>
            </c:numRef>
          </c:xVal>
          <c:yVal>
            <c:numRef>
              <c:f>(Sheet6!$C$6,Sheet6!$C$2:$C$3)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6FB-43BC-8D8F-6E0C6BCF58D1}"/>
            </c:ext>
          </c:extLst>
        </c:ser>
        <c:ser>
          <c:idx val="4"/>
          <c:order val="4"/>
          <c:tx>
            <c:v>tanA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Sheet6!$B$29:$B$31</c:f>
              <c:numCache>
                <c:formatCode>General</c:formatCode>
                <c:ptCount val="3"/>
                <c:pt idx="0">
                  <c:v>315</c:v>
                </c:pt>
                <c:pt idx="1">
                  <c:v>365</c:v>
                </c:pt>
                <c:pt idx="2">
                  <c:v>415</c:v>
                </c:pt>
              </c:numCache>
            </c:numRef>
          </c:xVal>
          <c:yVal>
            <c:numRef>
              <c:f>Sheet6!$C$29:$C$31</c:f>
              <c:numCache>
                <c:formatCode>General</c:formatCode>
                <c:ptCount val="3"/>
                <c:pt idx="0">
                  <c:v>227.5</c:v>
                </c:pt>
                <c:pt idx="1">
                  <c:v>152.5</c:v>
                </c:pt>
                <c:pt idx="2">
                  <c:v>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6FB-43BC-8D8F-6E0C6BCF58D1}"/>
            </c:ext>
          </c:extLst>
        </c:ser>
        <c:ser>
          <c:idx val="7"/>
          <c:order val="6"/>
          <c:tx>
            <c:strRef>
              <c:f>Sheet6!$A$32</c:f>
              <c:strCache>
                <c:ptCount val="1"/>
                <c:pt idx="0">
                  <c:v>tanC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Sheet6!$B$32:$B$34</c:f>
              <c:numCache>
                <c:formatCode>General</c:formatCode>
                <c:ptCount val="3"/>
                <c:pt idx="0">
                  <c:v>402</c:v>
                </c:pt>
                <c:pt idx="1">
                  <c:v>452</c:v>
                </c:pt>
                <c:pt idx="2">
                  <c:v>502</c:v>
                </c:pt>
              </c:numCache>
            </c:numRef>
          </c:xVal>
          <c:yVal>
            <c:numRef>
              <c:f>Sheet6!$C$32:$C$34</c:f>
              <c:numCache>
                <c:formatCode>General</c:formatCode>
                <c:ptCount val="3"/>
                <c:pt idx="0">
                  <c:v>697</c:v>
                </c:pt>
                <c:pt idx="1">
                  <c:v>622</c:v>
                </c:pt>
                <c:pt idx="2">
                  <c:v>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66-489C-8AD2-6070ACA674E8}"/>
            </c:ext>
          </c:extLst>
        </c:ser>
        <c:ser>
          <c:idx val="6"/>
          <c:order val="8"/>
          <c:tx>
            <c:v>Rect1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206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C66-489C-8AD2-6070ACA674E8}"/>
              </c:ext>
            </c:extLst>
          </c:dPt>
          <c:dLbls>
            <c:dLbl>
              <c:idx val="0"/>
              <c:layout>
                <c:manualLayout>
                  <c:x val="1.9295706705258081E-3"/>
                  <c:y val="2.507122507122507E-2"/>
                </c:manualLayout>
              </c:layout>
              <c:tx>
                <c:rich>
                  <a:bodyPr/>
                  <a:lstStyle/>
                  <a:p>
                    <a:fld id="{1398386D-8689-4979-B444-8EE8BFBB5D5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C66-489C-8AD2-6070ACA674E8}"/>
                </c:ext>
              </c:extLst>
            </c:dLbl>
            <c:dLbl>
              <c:idx val="1"/>
              <c:layout>
                <c:manualLayout>
                  <c:x val="-7.0750107274669718E-17"/>
                  <c:y val="-2.2792022792022793E-2"/>
                </c:manualLayout>
              </c:layout>
              <c:tx>
                <c:rich>
                  <a:bodyPr/>
                  <a:lstStyle/>
                  <a:p>
                    <a:fld id="{9E1DBBED-B0C9-48E6-840B-5B6F3B77BF7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C66-489C-8AD2-6070ACA674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1327867-A85A-4C35-A148-0EB056463C96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66-489C-8AD2-6070ACA674E8}"/>
                </c:ext>
              </c:extLst>
            </c:dLbl>
            <c:dLbl>
              <c:idx val="3"/>
              <c:layout>
                <c:manualLayout>
                  <c:x val="9.6478533526289691E-3"/>
                  <c:y val="1.1396011396011397E-2"/>
                </c:manualLayout>
              </c:layout>
              <c:tx>
                <c:rich>
                  <a:bodyPr/>
                  <a:lstStyle/>
                  <a:p>
                    <a:fld id="{3E74E673-687B-4774-B71F-5CF4FA61E9B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C66-489C-8AD2-6070ACA674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C66-489C-8AD2-6070ACA67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Sheet6!$B$23:$B$27</c:f>
              <c:numCache>
                <c:formatCode>General</c:formatCode>
                <c:ptCount val="5"/>
                <c:pt idx="0">
                  <c:v>365</c:v>
                </c:pt>
                <c:pt idx="1">
                  <c:v>365</c:v>
                </c:pt>
                <c:pt idx="2">
                  <c:v>452</c:v>
                </c:pt>
                <c:pt idx="3">
                  <c:v>452</c:v>
                </c:pt>
                <c:pt idx="4">
                  <c:v>365</c:v>
                </c:pt>
              </c:numCache>
            </c:numRef>
          </c:xVal>
          <c:yVal>
            <c:numRef>
              <c:f>Sheet6!$C$23:$C$27</c:f>
              <c:numCache>
                <c:formatCode>General</c:formatCode>
                <c:ptCount val="5"/>
                <c:pt idx="0">
                  <c:v>152.5</c:v>
                </c:pt>
                <c:pt idx="1">
                  <c:v>622</c:v>
                </c:pt>
                <c:pt idx="2">
                  <c:v>622</c:v>
                </c:pt>
                <c:pt idx="3">
                  <c:v>152.5</c:v>
                </c:pt>
                <c:pt idx="4">
                  <c:v>152.5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Sheet6!$A$23:$A$26</c15:f>
                <c15:dlblRangeCache>
                  <c:ptCount val="4"/>
                  <c:pt idx="0">
                    <c:v>a</c:v>
                  </c:pt>
                  <c:pt idx="1">
                    <c:v>0</c:v>
                  </c:pt>
                  <c:pt idx="2">
                    <c:v>c</c:v>
                  </c:pt>
                  <c:pt idx="3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E6FB-43BC-8D8F-6E0C6BCF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29616"/>
        <c:axId val="36833158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Sheet6!$F$29</c15:sqref>
                        </c15:formulaRef>
                      </c:ext>
                    </c:extLst>
                    <c:strCache>
                      <c:ptCount val="1"/>
                      <c:pt idx="0">
                        <c:v>tanB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Sheet6!$G$29:$G$31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315</c:v>
                      </c:pt>
                      <c:pt idx="1">
                        <c:v>365</c:v>
                      </c:pt>
                      <c:pt idx="2">
                        <c:v>415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Sheet6!$H$29:$H$31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572.5</c:v>
                      </c:pt>
                      <c:pt idx="1">
                        <c:v>647.5</c:v>
                      </c:pt>
                      <c:pt idx="2">
                        <c:v>722.5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E6FB-43BC-8D8F-6E0C6BCF58D1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Sheet6!$F$32</c15:sqref>
                        </c15:formulaRef>
                      </c:ext>
                    </c:extLst>
                    <c:strCache>
                      <c:ptCount val="1"/>
                      <c:pt idx="0">
                        <c:v>tanD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Sheet6!$G$32:$G$34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402</c:v>
                      </c:pt>
                      <c:pt idx="1">
                        <c:v>452</c:v>
                      </c:pt>
                      <c:pt idx="2">
                        <c:v>502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Sheet6!$H$32:$H$34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103</c:v>
                      </c:pt>
                      <c:pt idx="1">
                        <c:v>178</c:v>
                      </c:pt>
                      <c:pt idx="2">
                        <c:v>253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66-489C-8AD2-6070ACA674E8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Rect2</c:v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Sheet6!$G$23:$G$27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365</c:v>
                      </c:pt>
                      <c:pt idx="1">
                        <c:v>365</c:v>
                      </c:pt>
                      <c:pt idx="2">
                        <c:v>452</c:v>
                      </c:pt>
                      <c:pt idx="3">
                        <c:v>452</c:v>
                      </c:pt>
                      <c:pt idx="4">
                        <c:v>365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Sheet6!$H$23:$H$27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647.5</c:v>
                      </c:pt>
                      <c:pt idx="1">
                        <c:v>178</c:v>
                      </c:pt>
                      <c:pt idx="2">
                        <c:v>178</c:v>
                      </c:pt>
                      <c:pt idx="3">
                        <c:v>647.5</c:v>
                      </c:pt>
                      <c:pt idx="4">
                        <c:v>647.5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66-489C-8AD2-6070ACA674E8}"/>
                  </c:ext>
                </c:extLst>
              </c15:ser>
            </c15:filteredScatterSeries>
          </c:ext>
        </c:extLst>
      </c:scatterChart>
      <c:valAx>
        <c:axId val="36832961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31584"/>
        <c:crosses val="autoZero"/>
        <c:crossBetween val="midCat"/>
      </c:valAx>
      <c:valAx>
        <c:axId val="368331584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Intersection!$B$3:$B$4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Intersection!$C$3:$C$4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9D8-8B20-6E4BF04F1C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Intersection!$B$6:$B$7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xVal>
          <c:yVal>
            <c:numRef>
              <c:f>Intersection!$C$6:$C$7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9D8-8B20-6E4BF04F1C0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Intersection!$B$9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Intersection!$C$9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64-49D8-8B20-6E4BF04F1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16120"/>
        <c:axId val="354916448"/>
      </c:scatterChart>
      <c:valAx>
        <c:axId val="35491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16448"/>
        <c:crosses val="autoZero"/>
        <c:crossBetween val="midCat"/>
      </c:valAx>
      <c:valAx>
        <c:axId val="3549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1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6"/>
          <c:order val="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'2Segments'!$A$25:$A$29</c:f>
              <c:numCache>
                <c:formatCode>General</c:formatCode>
                <c:ptCount val="5"/>
                <c:pt idx="0">
                  <c:v>0</c:v>
                </c:pt>
                <c:pt idx="1">
                  <c:v>-3</c:v>
                </c:pt>
                <c:pt idx="2">
                  <c:v>-3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'2Segments'!$B$25:$B$29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D-4A62-82CC-C88951A0B4F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'2Segments'!$A$3:$A$4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'2Segments'!$B$3:$B$4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0-4901-86B3-2030B3B53AEC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'2Segments'!$A$5:$A$6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'2Segments'!$B$5:$B$6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D0-4901-86B3-2030B3B53AEC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'2Segments'!$A$11:$A$12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xVal>
          <c:yVal>
            <c:numRef>
              <c:f>'2Segments'!$B$11:$B$12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D0-4901-86B3-2030B3B53AEC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'2Segments'!$A$14:$A$15</c:f>
              <c:numCache>
                <c:formatCode>General</c:formatCode>
                <c:ptCount val="2"/>
                <c:pt idx="0">
                  <c:v>0</c:v>
                </c:pt>
                <c:pt idx="1">
                  <c:v>-2.5</c:v>
                </c:pt>
              </c:numCache>
            </c:numRef>
          </c:xVal>
          <c:yVal>
            <c:numRef>
              <c:f>'2Segments'!$B$14:$B$15</c:f>
              <c:numCache>
                <c:formatCode>General</c:formatCode>
                <c:ptCount val="2"/>
                <c:pt idx="0">
                  <c:v>0</c:v>
                </c:pt>
                <c:pt idx="1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D0-4901-86B3-2030B3B53AEC}"/>
            </c:ext>
          </c:extLst>
        </c:ser>
        <c:ser>
          <c:idx val="4"/>
          <c:order val="5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'2Segments'!$A$17:$A$18</c:f>
              <c:numCache>
                <c:formatCode>General</c:formatCode>
                <c:ptCount val="2"/>
                <c:pt idx="0">
                  <c:v>-3</c:v>
                </c:pt>
                <c:pt idx="1">
                  <c:v>1</c:v>
                </c:pt>
              </c:numCache>
            </c:numRef>
          </c:xVal>
          <c:yVal>
            <c:numRef>
              <c:f>'2Segments'!$B$17:$B$18</c:f>
              <c:numCache>
                <c:formatCode>General</c:formatCode>
                <c:ptCount val="2"/>
                <c:pt idx="0">
                  <c:v>1</c:v>
                </c:pt>
                <c:pt idx="1">
                  <c:v>0.19999999999999996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D0-4901-86B3-2030B3B53AEC}"/>
            </c:ext>
          </c:extLst>
        </c:ser>
        <c:ser>
          <c:idx val="5"/>
          <c:order val="6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'2Segments'!$A$21:$A$22</c:f>
              <c:numCache>
                <c:formatCode>General</c:formatCode>
                <c:ptCount val="2"/>
                <c:pt idx="0">
                  <c:v>3</c:v>
                </c:pt>
                <c:pt idx="1">
                  <c:v>11.5</c:v>
                </c:pt>
              </c:numCache>
            </c:numRef>
          </c:xVal>
          <c:yVal>
            <c:numRef>
              <c:f>'2Segments'!$B$21:$B$22</c:f>
              <c:numCache>
                <c:formatCode>General</c:formatCode>
                <c:ptCount val="2"/>
                <c:pt idx="0">
                  <c:v>4</c:v>
                </c:pt>
                <c:pt idx="1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D0-4901-86B3-2030B3B53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77736"/>
        <c:axId val="461476096"/>
      </c:scatterChart>
      <c:valAx>
        <c:axId val="46147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76096"/>
        <c:crosses val="autoZero"/>
        <c:crossBetween val="midCat"/>
      </c:valAx>
      <c:valAx>
        <c:axId val="4614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77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4F1A228-48A6-4B9A-A249-5B42FA06C81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145-4F65-BCE1-2267A53F9F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572949-6E0B-4688-A152-C44F84D1DBAC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45-4F65-BCE1-2267A53F9F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049A7F-32C6-45F9-888D-4F94B3E15E7B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45-4F65-BCE1-2267A53F9F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D90E2A3-1AF5-42C5-A49C-671DB25A29DD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145-4F65-BCE1-2267A53F9F0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58139E7-028F-4BB1-BE7D-7D4E6247DFB8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145-4F65-BCE1-2267A53F9F0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193D224-6C5C-40C4-8B19-8C8E7057A3A1}" type="CELLRANGE">
                      <a:rPr lang="en-CA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145-4F65-BCE1-2267A53F9F0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45-4F65-BCE1-2267A53F9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Sheet1!$B$2:$B$8</c:f>
              <c:numCache>
                <c:formatCode>General</c:formatCode>
                <c:ptCount val="7"/>
                <c:pt idx="0">
                  <c:v>270</c:v>
                </c:pt>
                <c:pt idx="1">
                  <c:v>314</c:v>
                </c:pt>
                <c:pt idx="2">
                  <c:v>455</c:v>
                </c:pt>
                <c:pt idx="3">
                  <c:v>512</c:v>
                </c:pt>
                <c:pt idx="4">
                  <c:v>533</c:v>
                </c:pt>
                <c:pt idx="5">
                  <c:v>485</c:v>
                </c:pt>
                <c:pt idx="6">
                  <c:v>270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286</c:v>
                </c:pt>
                <c:pt idx="1">
                  <c:v>532</c:v>
                </c:pt>
                <c:pt idx="2">
                  <c:v>552</c:v>
                </c:pt>
                <c:pt idx="3">
                  <c:v>518</c:v>
                </c:pt>
                <c:pt idx="4">
                  <c:v>429</c:v>
                </c:pt>
                <c:pt idx="5">
                  <c:v>330</c:v>
                </c:pt>
                <c:pt idx="6">
                  <c:v>286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Sheet1!$A$2:$A$8</c15:f>
                <c15:dlblRangeCache>
                  <c:ptCount val="7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8145-4F65-BCE1-2267A53F9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73496"/>
        <c:axId val="504177432"/>
      </c:scatterChart>
      <c:valAx>
        <c:axId val="50417349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7432"/>
        <c:crosses val="autoZero"/>
        <c:crossBetween val="midCat"/>
      </c:valAx>
      <c:valAx>
        <c:axId val="504177432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Sheet1!$B$2:$B$4</c:f>
              <c:numCache>
                <c:formatCode>General</c:formatCode>
                <c:ptCount val="3"/>
                <c:pt idx="0">
                  <c:v>270</c:v>
                </c:pt>
                <c:pt idx="1">
                  <c:v>314</c:v>
                </c:pt>
                <c:pt idx="2">
                  <c:v>455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286</c:v>
                </c:pt>
                <c:pt idx="1">
                  <c:v>532</c:v>
                </c:pt>
                <c:pt idx="2">
                  <c:v>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7-40E4-97A8-A569CB388D5C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Sheet1!$B$4:$B$6</c:f>
              <c:numCache>
                <c:formatCode>General</c:formatCode>
                <c:ptCount val="3"/>
                <c:pt idx="0">
                  <c:v>455</c:v>
                </c:pt>
                <c:pt idx="1">
                  <c:v>512</c:v>
                </c:pt>
                <c:pt idx="2">
                  <c:v>533</c:v>
                </c:pt>
              </c:numCache>
            </c:numRef>
          </c:xVal>
          <c:yVal>
            <c:numRef>
              <c:f>Sheet1!$E$4:$E$6</c:f>
              <c:numCache>
                <c:formatCode>General</c:formatCode>
                <c:ptCount val="3"/>
                <c:pt idx="0">
                  <c:v>552</c:v>
                </c:pt>
                <c:pt idx="1">
                  <c:v>518</c:v>
                </c:pt>
                <c:pt idx="2">
                  <c:v>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C7-40E4-97A8-A569CB388D5C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Sheet1!$B$6:$B$8</c:f>
              <c:numCache>
                <c:formatCode>General</c:formatCode>
                <c:ptCount val="3"/>
                <c:pt idx="0">
                  <c:v>533</c:v>
                </c:pt>
                <c:pt idx="1">
                  <c:v>485</c:v>
                </c:pt>
                <c:pt idx="2">
                  <c:v>270</c:v>
                </c:pt>
              </c:numCache>
            </c:numRef>
          </c:xVal>
          <c:yVal>
            <c:numRef>
              <c:f>Sheet1!$E$6:$E$8</c:f>
              <c:numCache>
                <c:formatCode>General</c:formatCode>
                <c:ptCount val="3"/>
                <c:pt idx="0">
                  <c:v>429</c:v>
                </c:pt>
                <c:pt idx="1">
                  <c:v>330</c:v>
                </c:pt>
                <c:pt idx="2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C7-40E4-97A8-A569CB388D5C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</c:f>
              <c:numCache>
                <c:formatCode>General</c:formatCode>
                <c:ptCount val="1"/>
                <c:pt idx="0">
                  <c:v>270</c:v>
                </c:pt>
              </c:numCache>
            </c:numRef>
          </c:xVal>
          <c:yVal>
            <c:numRef>
              <c:f>Sheet1!$E$2</c:f>
              <c:numCache>
                <c:formatCode>General</c:formatCode>
                <c:ptCount val="1"/>
                <c:pt idx="0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C7-40E4-97A8-A569CB388D5C}"/>
            </c:ext>
          </c:extLst>
        </c:ser>
        <c:ser>
          <c:idx val="4"/>
          <c:order val="4"/>
          <c:tx>
            <c:v>m_a</c:v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264</c:v>
                </c:pt>
                <c:pt idx="1">
                  <c:v>314</c:v>
                </c:pt>
                <c:pt idx="2">
                  <c:v>364</c:v>
                </c:pt>
              </c:numCache>
            </c:numRef>
          </c:xVal>
          <c:yVal>
            <c:numRef>
              <c:f>Sheet1!$B$13:$B$15</c:f>
              <c:numCache>
                <c:formatCode>General</c:formatCode>
                <c:ptCount val="3"/>
                <c:pt idx="0">
                  <c:v>547.5454545454545</c:v>
                </c:pt>
                <c:pt idx="1">
                  <c:v>268</c:v>
                </c:pt>
                <c:pt idx="2">
                  <c:v>-11.545454545454561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C7-40E4-97A8-A569CB388D5C}"/>
            </c:ext>
          </c:extLst>
        </c:ser>
        <c:ser>
          <c:idx val="5"/>
          <c:order val="5"/>
          <c:tx>
            <c:v>m_b</c:v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Sheet1!$A$18:$A$20</c:f>
              <c:numCache>
                <c:formatCode>General</c:formatCode>
                <c:ptCount val="3"/>
                <c:pt idx="0">
                  <c:v>405</c:v>
                </c:pt>
                <c:pt idx="1">
                  <c:v>455</c:v>
                </c:pt>
                <c:pt idx="2">
                  <c:v>505</c:v>
                </c:pt>
              </c:numCache>
            </c:numRef>
          </c:xVal>
          <c:yVal>
            <c:numRef>
              <c:f>Sheet1!$B$18:$B$20</c:f>
              <c:numCache>
                <c:formatCode>General</c:formatCode>
                <c:ptCount val="3"/>
                <c:pt idx="0">
                  <c:v>218.17543859649123</c:v>
                </c:pt>
                <c:pt idx="1">
                  <c:v>248</c:v>
                </c:pt>
                <c:pt idx="2">
                  <c:v>277.82456140350877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C7-40E4-97A8-A569CB388D5C}"/>
            </c:ext>
          </c:extLst>
        </c:ser>
        <c:ser>
          <c:idx val="6"/>
          <c:order val="6"/>
          <c:tx>
            <c:v>m_c</c:v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Sheet1!$A$23:$A$25</c:f>
              <c:numCache>
                <c:formatCode>General</c:formatCode>
                <c:ptCount val="3"/>
                <c:pt idx="0">
                  <c:v>438.52941176470586</c:v>
                </c:pt>
                <c:pt idx="1">
                  <c:v>488.52941176470586</c:v>
                </c:pt>
                <c:pt idx="2">
                  <c:v>538.52941176470586</c:v>
                </c:pt>
              </c:numCache>
            </c:numRef>
          </c:xVal>
          <c:yVal>
            <c:numRef>
              <c:f>Sheet1!$B$23:$B$25</c:f>
              <c:numCache>
                <c:formatCode>General</c:formatCode>
                <c:ptCount val="3"/>
                <c:pt idx="0">
                  <c:v>565.84558823529414</c:v>
                </c:pt>
                <c:pt idx="1">
                  <c:v>462.72058823529414</c:v>
                </c:pt>
                <c:pt idx="2">
                  <c:v>359.59558823529414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C7-40E4-97A8-A569CB388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73496"/>
        <c:axId val="504177432"/>
      </c:scatterChart>
      <c:valAx>
        <c:axId val="504173496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7432"/>
        <c:crosses val="autoZero"/>
        <c:crossBetween val="midCat"/>
      </c:valAx>
      <c:valAx>
        <c:axId val="504177432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Sheet1!$B$2:$B$4</c:f>
              <c:numCache>
                <c:formatCode>General</c:formatCode>
                <c:ptCount val="3"/>
                <c:pt idx="0">
                  <c:v>270</c:v>
                </c:pt>
                <c:pt idx="1">
                  <c:v>314</c:v>
                </c:pt>
                <c:pt idx="2">
                  <c:v>455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514</c:v>
                </c:pt>
                <c:pt idx="1">
                  <c:v>268</c:v>
                </c:pt>
                <c:pt idx="2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AC-43C0-8DAF-E9EC6708E02B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Sheet1!$B$4:$B$6</c:f>
              <c:numCache>
                <c:formatCode>General</c:formatCode>
                <c:ptCount val="3"/>
                <c:pt idx="0">
                  <c:v>455</c:v>
                </c:pt>
                <c:pt idx="1">
                  <c:v>512</c:v>
                </c:pt>
                <c:pt idx="2">
                  <c:v>533</c:v>
                </c:pt>
              </c:numCache>
            </c:numRef>
          </c:xVal>
          <c:yVal>
            <c:numRef>
              <c:f>Sheet1!$C$4:$C$6</c:f>
              <c:numCache>
                <c:formatCode>General</c:formatCode>
                <c:ptCount val="3"/>
                <c:pt idx="0">
                  <c:v>248</c:v>
                </c:pt>
                <c:pt idx="1">
                  <c:v>282</c:v>
                </c:pt>
                <c:pt idx="2">
                  <c:v>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AC-43C0-8DAF-E9EC6708E02B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Sheet1!$B$6:$B$8</c:f>
              <c:numCache>
                <c:formatCode>General</c:formatCode>
                <c:ptCount val="3"/>
                <c:pt idx="0">
                  <c:v>533</c:v>
                </c:pt>
                <c:pt idx="1">
                  <c:v>485</c:v>
                </c:pt>
                <c:pt idx="2">
                  <c:v>270</c:v>
                </c:pt>
              </c:numCache>
            </c:numRef>
          </c:xVal>
          <c:yVal>
            <c:numRef>
              <c:f>Sheet1!$C$6:$C$8</c:f>
              <c:numCache>
                <c:formatCode>General</c:formatCode>
                <c:ptCount val="3"/>
                <c:pt idx="0">
                  <c:v>371</c:v>
                </c:pt>
                <c:pt idx="1">
                  <c:v>470</c:v>
                </c:pt>
                <c:pt idx="2">
                  <c:v>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AC-43C0-8DAF-E9EC6708E02B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</c:f>
              <c:numCache>
                <c:formatCode>General</c:formatCode>
                <c:ptCount val="1"/>
                <c:pt idx="0">
                  <c:v>270</c:v>
                </c:pt>
              </c:numCache>
            </c:numRef>
          </c:xVal>
          <c:yVal>
            <c:numRef>
              <c:f>Sheet1!$C$2</c:f>
              <c:numCache>
                <c:formatCode>General</c:formatCode>
                <c:ptCount val="1"/>
                <c:pt idx="0">
                  <c:v>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AC-43C0-8DAF-E9EC6708E02B}"/>
            </c:ext>
          </c:extLst>
        </c:ser>
        <c:ser>
          <c:idx val="4"/>
          <c:order val="4"/>
          <c:tx>
            <c:v>m_a</c:v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3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3FAC-43C0-8DAF-E9EC6708E02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FAC-43C0-8DAF-E9EC6708E02B}"/>
              </c:ext>
            </c:extLst>
          </c:dPt>
          <c:xVal>
            <c:numRef>
              <c:f>Sheet1!$A$13:$A$15</c:f>
              <c:numCache>
                <c:formatCode>General</c:formatCode>
                <c:ptCount val="3"/>
                <c:pt idx="0">
                  <c:v>264</c:v>
                </c:pt>
                <c:pt idx="1">
                  <c:v>314</c:v>
                </c:pt>
                <c:pt idx="2">
                  <c:v>364</c:v>
                </c:pt>
              </c:numCache>
            </c:numRef>
          </c:xVal>
          <c:yVal>
            <c:numRef>
              <c:f>Sheet1!$B$13:$B$15</c:f>
              <c:numCache>
                <c:formatCode>General</c:formatCode>
                <c:ptCount val="3"/>
                <c:pt idx="0">
                  <c:v>547.5454545454545</c:v>
                </c:pt>
                <c:pt idx="1">
                  <c:v>268</c:v>
                </c:pt>
                <c:pt idx="2">
                  <c:v>-11.545454545454561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AC-43C0-8DAF-E9EC6708E02B}"/>
            </c:ext>
          </c:extLst>
        </c:ser>
        <c:ser>
          <c:idx val="5"/>
          <c:order val="5"/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FAC-43C0-8DAF-E9EC6708E02B}"/>
              </c:ext>
            </c:extLst>
          </c:dPt>
          <c:xVal>
            <c:numRef>
              <c:f>Sheet1!$D$18:$D$20</c:f>
              <c:numCache>
                <c:formatCode>General</c:formatCode>
                <c:ptCount val="3"/>
                <c:pt idx="0">
                  <c:v>438.52941176470586</c:v>
                </c:pt>
                <c:pt idx="1">
                  <c:v>488.52941176470586</c:v>
                </c:pt>
                <c:pt idx="2">
                  <c:v>538.52941176470586</c:v>
                </c:pt>
              </c:numCache>
            </c:numRef>
          </c:xVal>
          <c:yVal>
            <c:numRef>
              <c:f>Sheet1!$E$18:$E$20</c:f>
              <c:numCache>
                <c:formatCode>General</c:formatCode>
                <c:ptCount val="3"/>
                <c:pt idx="0">
                  <c:v>238.17543859649123</c:v>
                </c:pt>
                <c:pt idx="1">
                  <c:v>268</c:v>
                </c:pt>
                <c:pt idx="2">
                  <c:v>297.82456140350877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AC-43C0-8DAF-E9EC6708E02B}"/>
            </c:ext>
          </c:extLst>
        </c:ser>
        <c:ser>
          <c:idx val="6"/>
          <c:order val="6"/>
          <c:tx>
            <c:v>m_c</c:v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2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FCE-43D9-A701-C0921C140996}"/>
              </c:ext>
            </c:extLst>
          </c:dPt>
          <c:xVal>
            <c:numRef>
              <c:f>Sheet1!$A$23:$A$25</c:f>
              <c:numCache>
                <c:formatCode>General</c:formatCode>
                <c:ptCount val="3"/>
                <c:pt idx="0">
                  <c:v>438.52941176470586</c:v>
                </c:pt>
                <c:pt idx="1">
                  <c:v>488.52941176470586</c:v>
                </c:pt>
                <c:pt idx="2">
                  <c:v>538.52941176470586</c:v>
                </c:pt>
              </c:numCache>
            </c:numRef>
          </c:xVal>
          <c:yVal>
            <c:numRef>
              <c:f>Sheet1!$B$23:$B$25</c:f>
              <c:numCache>
                <c:formatCode>General</c:formatCode>
                <c:ptCount val="3"/>
                <c:pt idx="0">
                  <c:v>565.84558823529414</c:v>
                </c:pt>
                <c:pt idx="1">
                  <c:v>462.72058823529414</c:v>
                </c:pt>
                <c:pt idx="2">
                  <c:v>359.59558823529414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AC-43C0-8DAF-E9EC6708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73496"/>
        <c:axId val="504177432"/>
      </c:scatterChart>
      <c:valAx>
        <c:axId val="504173496"/>
        <c:scaling>
          <c:orientation val="minMax"/>
          <c:max val="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7432"/>
        <c:crosses val="autoZero"/>
        <c:crossBetween val="midCat"/>
      </c:valAx>
      <c:valAx>
        <c:axId val="50417743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626DA2B-07EF-4C88-B573-B5DA46BDA89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401-4D63-8510-6A88F5B266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8A48DD-99D5-4FE3-9531-796D5FAD4DB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401-4D63-8510-6A88F5B266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44A75A3-72B0-4789-9341-15475088E24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401-4D63-8510-6A88F5B266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D1479BF-BCE7-4AAE-8E8A-28427656C8F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401-4D63-8510-6A88F5B266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D1115A-1D1A-4CB7-BB39-F20989E698B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401-4D63-8510-6A88F5B26626}"/>
                </c:ext>
              </c:extLst>
            </c:dLbl>
            <c:dLbl>
              <c:idx val="5"/>
              <c:layout>
                <c:manualLayout>
                  <c:x val="1.6411258322949512E-2"/>
                  <c:y val="2.6763236763236713E-2"/>
                </c:manualLayout>
              </c:layout>
              <c:tx>
                <c:rich>
                  <a:bodyPr/>
                  <a:lstStyle/>
                  <a:p>
                    <a:fld id="{C798457A-26A5-46A9-89DD-CEFC351F744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401-4D63-8510-6A88F5B2662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401-4D63-8510-6A88F5B266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'Sheet1 (2)'!$B$2:$B$8</c:f>
              <c:numCache>
                <c:formatCode>General</c:formatCode>
                <c:ptCount val="7"/>
                <c:pt idx="0">
                  <c:v>11</c:v>
                </c:pt>
                <c:pt idx="1">
                  <c:v>20</c:v>
                </c:pt>
                <c:pt idx="2">
                  <c:v>45</c:v>
                </c:pt>
                <c:pt idx="3">
                  <c:v>55</c:v>
                </c:pt>
                <c:pt idx="4">
                  <c:v>59</c:v>
                </c:pt>
                <c:pt idx="5">
                  <c:v>50</c:v>
                </c:pt>
                <c:pt idx="6">
                  <c:v>11</c:v>
                </c:pt>
              </c:numCache>
            </c:numRef>
          </c:xVal>
          <c:yVal>
            <c:numRef>
              <c:f>'Sheet1 (2)'!$C$2:$C$8</c:f>
              <c:numCache>
                <c:formatCode>General</c:formatCode>
                <c:ptCount val="7"/>
                <c:pt idx="0">
                  <c:v>48</c:v>
                </c:pt>
                <c:pt idx="1">
                  <c:v>10</c:v>
                </c:pt>
                <c:pt idx="2">
                  <c:v>8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'Sheet1 (2)'!$A$2:$A$8</c15:f>
                <c15:dlblRangeCache>
                  <c:ptCount val="7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401-4D63-8510-6A88F5B26626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'Sheet1 (2)'!$I$32:$I$36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50</c:v>
                </c:pt>
                <c:pt idx="3">
                  <c:v>20</c:v>
                </c:pt>
                <c:pt idx="4">
                  <c:v>20</c:v>
                </c:pt>
              </c:numCache>
            </c:numRef>
          </c:xVal>
          <c:yVal>
            <c:numRef>
              <c:f>'Sheet1 (2)'!$J$32:$J$36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40</c:v>
                </c:pt>
                <c:pt idx="3">
                  <c:v>40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01-4D63-8510-6A88F5B26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73496"/>
        <c:axId val="504177432"/>
      </c:scatterChart>
      <c:valAx>
        <c:axId val="50417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7432"/>
        <c:crosses val="autoZero"/>
        <c:crossBetween val="midCat"/>
      </c:valAx>
      <c:valAx>
        <c:axId val="50417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(2)'!$B$2:$B$4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45</c:v>
                </c:pt>
              </c:numCache>
            </c:numRef>
          </c:xVal>
          <c:yVal>
            <c:numRef>
              <c:f>'Sheet1 (2)'!$C$2:$C$4</c:f>
              <c:numCache>
                <c:formatCode>General</c:formatCode>
                <c:ptCount val="3"/>
                <c:pt idx="0">
                  <c:v>48</c:v>
                </c:pt>
                <c:pt idx="1">
                  <c:v>10</c:v>
                </c:pt>
                <c:pt idx="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7-49DB-9EA5-AA85823BF836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(2)'!$B$4:$B$6</c:f>
              <c:numCache>
                <c:formatCode>General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59</c:v>
                </c:pt>
              </c:numCache>
            </c:numRef>
          </c:xVal>
          <c:yVal>
            <c:numRef>
              <c:f>'Sheet1 (2)'!$C$4:$C$6</c:f>
              <c:numCache>
                <c:formatCode>General</c:formatCode>
                <c:ptCount val="3"/>
                <c:pt idx="0">
                  <c:v>8</c:v>
                </c:pt>
                <c:pt idx="1">
                  <c:v>12</c:v>
                </c:pt>
                <c:pt idx="2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17-49DB-9EA5-AA85823BF836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'Sheet1 (2)'!$B$6:$B$8</c:f>
              <c:numCache>
                <c:formatCode>General</c:formatCode>
                <c:ptCount val="3"/>
                <c:pt idx="0">
                  <c:v>59</c:v>
                </c:pt>
                <c:pt idx="1">
                  <c:v>50</c:v>
                </c:pt>
                <c:pt idx="2">
                  <c:v>11</c:v>
                </c:pt>
              </c:numCache>
            </c:numRef>
          </c:xVal>
          <c:yVal>
            <c:numRef>
              <c:f>'Sheet1 (2)'!$C$6:$C$8</c:f>
              <c:numCache>
                <c:formatCode>General</c:formatCode>
                <c:ptCount val="3"/>
                <c:pt idx="0">
                  <c:v>26</c:v>
                </c:pt>
                <c:pt idx="1">
                  <c:v>40</c:v>
                </c:pt>
                <c:pt idx="2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17-49DB-9EA5-AA85823BF836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'Sheet1 (2)'!$B$2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'Sheet1 (2)'!$C$2</c:f>
              <c:numCache>
                <c:formatCode>General</c:formatCode>
                <c:ptCount val="1"/>
                <c:pt idx="0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17-49DB-9EA5-AA85823BF836}"/>
            </c:ext>
          </c:extLst>
        </c:ser>
        <c:ser>
          <c:idx val="7"/>
          <c:order val="7"/>
          <c:tx>
            <c:v>rect</c:v>
          </c:tx>
          <c:spPr>
            <a:ln w="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'Sheet1 (2)'!$I$32:$I$36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50</c:v>
                </c:pt>
                <c:pt idx="3">
                  <c:v>20</c:v>
                </c:pt>
                <c:pt idx="4">
                  <c:v>20</c:v>
                </c:pt>
              </c:numCache>
            </c:numRef>
          </c:xVal>
          <c:yVal>
            <c:numRef>
              <c:f>'Sheet1 (2)'!$J$32:$J$36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40</c:v>
                </c:pt>
                <c:pt idx="3">
                  <c:v>40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17-49DB-9EA5-AA85823BF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73496"/>
        <c:axId val="50417743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m_a</c:v>
                </c:tx>
                <c:spPr>
                  <a:ln w="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Pt>
                  <c:idx val="1"/>
                  <c:marker>
                    <c:symbol val="circle"/>
                    <c:size val="3"/>
                    <c:spPr>
                      <a:solidFill>
                        <a:srgbClr val="FF0000"/>
                      </a:solidFill>
                      <a:ln w="9525">
                        <a:solidFill>
                          <a:srgbClr val="FF0000"/>
                        </a:solidFill>
                      </a:ln>
                      <a:effectLst/>
                    </c:spPr>
                  </c:marker>
                  <c:bubble3D val="0"/>
                  <c:spPr>
                    <a:ln w="0" cap="rnd">
                      <a:solidFill>
                        <a:srgbClr val="FF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BE17-49DB-9EA5-AA85823BF836}"/>
                    </c:ext>
                  </c:extLst>
                </c:dPt>
                <c:dPt>
                  <c:idx val="2"/>
                  <c:marker>
                    <c:symbol val="none"/>
                  </c:marker>
                  <c:bubble3D val="0"/>
                  <c:spPr>
                    <a:ln w="0" cap="rnd">
                      <a:solidFill>
                        <a:srgbClr val="FF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BE17-49DB-9EA5-AA85823BF836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'Sheet1 (2)'!$A$13:$A$15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-30</c:v>
                      </c:pt>
                      <c:pt idx="1">
                        <c:v>20</c:v>
                      </c:pt>
                      <c:pt idx="2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'Sheet1 (2)'!$B$13:$B$15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221.11111111111111</c:v>
                      </c:pt>
                      <c:pt idx="1">
                        <c:v>10</c:v>
                      </c:pt>
                      <c:pt idx="2">
                        <c:v>-201.11111111111111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E17-49DB-9EA5-AA85823BF83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m_b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(2)'!$A$18:$A$20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-5</c:v>
                      </c:pt>
                      <c:pt idx="1">
                        <c:v>45</c:v>
                      </c:pt>
                      <c:pt idx="2">
                        <c:v>95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(2)'!$B$18:$B$20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-12</c:v>
                      </c:pt>
                      <c:pt idx="1">
                        <c:v>8</c:v>
                      </c:pt>
                      <c:pt idx="2">
                        <c:v>28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BE17-49DB-9EA5-AA85823BF83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m_c</c:v>
                </c:tx>
                <c:spPr>
                  <a:ln w="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Pt>
                  <c:idx val="1"/>
                  <c:marker>
                    <c:symbol val="circle"/>
                    <c:size val="2"/>
                    <c:spPr>
                      <a:solidFill>
                        <a:schemeClr val="accent1">
                          <a:lumMod val="60000"/>
                        </a:schemeClr>
                      </a:solidFill>
                      <a:ln w="9525">
                        <a:solidFill>
                          <a:schemeClr val="accent1">
                            <a:lumMod val="60000"/>
                          </a:schemeClr>
                        </a:solidFill>
                      </a:ln>
                      <a:effectLst/>
                    </c:spPr>
                  </c:marker>
                  <c:bubble3D val="0"/>
                  <c:extLst>
                    <c:ext xmlns:c16="http://schemas.microsoft.com/office/drawing/2014/chart" uri="{C3380CC4-5D6E-409C-BE32-E72D297353CC}">
                      <c16:uniqueId val="{0000000B-BE17-49DB-9EA5-AA85823BF836}"/>
                    </c:ext>
                  </c:extLst>
                </c:dPt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(2)'!$A$23:$A$25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'Sheet1 (2)'!$B$23:$B$25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117.77777777777779</c:v>
                      </c:pt>
                      <c:pt idx="1">
                        <c:v>40</c:v>
                      </c:pt>
                      <c:pt idx="2">
                        <c:v>-37.777777777777786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BE17-49DB-9EA5-AA85823BF836}"/>
                  </c:ext>
                </c:extLst>
              </c15:ser>
            </c15:filteredScatterSeries>
          </c:ext>
        </c:extLst>
      </c:scatterChart>
      <c:valAx>
        <c:axId val="504173496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7432"/>
        <c:crosses val="autoZero"/>
        <c:crossBetween val="midCat"/>
      </c:valAx>
      <c:valAx>
        <c:axId val="504177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7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3.png"/><Relationship Id="rId4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9525</xdr:colOff>
      <xdr:row>45</xdr:row>
      <xdr:rowOff>9525</xdr:rowOff>
    </xdr:from>
    <xdr:to>
      <xdr:col>32</xdr:col>
      <xdr:colOff>604953</xdr:colOff>
      <xdr:row>49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86060B-E411-4648-9473-57E95ED66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725025"/>
          <a:ext cx="2424228" cy="2276475"/>
        </a:xfrm>
        <a:prstGeom prst="rect">
          <a:avLst/>
        </a:prstGeom>
      </xdr:spPr>
    </xdr:pic>
    <xdr:clientData/>
  </xdr:twoCellAnchor>
  <xdr:twoCellAnchor editAs="absolute">
    <xdr:from>
      <xdr:col>30</xdr:col>
      <xdr:colOff>92423</xdr:colOff>
      <xdr:row>1</xdr:row>
      <xdr:rowOff>104775</xdr:rowOff>
    </xdr:from>
    <xdr:to>
      <xdr:col>34</xdr:col>
      <xdr:colOff>104774</xdr:colOff>
      <xdr:row>13</xdr:row>
      <xdr:rowOff>126297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CD9F1-6FF7-46F8-B1E0-1E1F1F0F0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18</xdr:col>
      <xdr:colOff>140625</xdr:colOff>
      <xdr:row>10</xdr:row>
      <xdr:rowOff>161925</xdr:rowOff>
    </xdr:from>
    <xdr:to>
      <xdr:col>28</xdr:col>
      <xdr:colOff>533399</xdr:colOff>
      <xdr:row>31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99C56F-566B-4F0B-AB19-7C7C00E6F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556158</xdr:colOff>
      <xdr:row>2</xdr:row>
      <xdr:rowOff>0</xdr:rowOff>
    </xdr:from>
    <xdr:to>
      <xdr:col>30</xdr:col>
      <xdr:colOff>304799</xdr:colOff>
      <xdr:row>12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2CC15C-BA91-4EF9-A265-339FF8448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187857</xdr:colOff>
      <xdr:row>17</xdr:row>
      <xdr:rowOff>57149</xdr:rowOff>
    </xdr:from>
    <xdr:to>
      <xdr:col>25</xdr:col>
      <xdr:colOff>123825</xdr:colOff>
      <xdr:row>37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A3ADDC-5882-4C39-8015-B66F12211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66675</xdr:colOff>
      <xdr:row>19</xdr:row>
      <xdr:rowOff>85725</xdr:rowOff>
    </xdr:from>
    <xdr:to>
      <xdr:col>27</xdr:col>
      <xdr:colOff>437858</xdr:colOff>
      <xdr:row>29</xdr:row>
      <xdr:rowOff>152154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4912F-9001-4D0B-A1BB-FCFB2B38A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9075" y="3705225"/>
          <a:ext cx="2333333" cy="1971429"/>
        </a:xfrm>
        <a:prstGeom prst="rect">
          <a:avLst/>
        </a:prstGeom>
      </xdr:spPr>
    </xdr:pic>
    <xdr:clientData/>
  </xdr:twoCellAnchor>
  <xdr:twoCellAnchor>
    <xdr:from>
      <xdr:col>29</xdr:col>
      <xdr:colOff>38100</xdr:colOff>
      <xdr:row>1</xdr:row>
      <xdr:rowOff>180974</xdr:rowOff>
    </xdr:from>
    <xdr:to>
      <xdr:col>33</xdr:col>
      <xdr:colOff>419100</xdr:colOff>
      <xdr:row>17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B9DE42-DB59-42FD-8446-2DAB1191B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228600</xdr:colOff>
      <xdr:row>2</xdr:row>
      <xdr:rowOff>123825</xdr:rowOff>
    </xdr:from>
    <xdr:to>
      <xdr:col>29</xdr:col>
      <xdr:colOff>447675</xdr:colOff>
      <xdr:row>23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AACB5C-2CCB-42EA-9746-B05EE87EB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5</xdr:row>
      <xdr:rowOff>76710</xdr:rowOff>
    </xdr:from>
    <xdr:to>
      <xdr:col>27</xdr:col>
      <xdr:colOff>371474</xdr:colOff>
      <xdr:row>22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0E46B-7507-4D4B-A9A6-4C1DC26FB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8</xdr:row>
      <xdr:rowOff>95250</xdr:rowOff>
    </xdr:from>
    <xdr:to>
      <xdr:col>19</xdr:col>
      <xdr:colOff>581025</xdr:colOff>
      <xdr:row>37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0868DC-23B8-4F21-B9DC-0884EFE96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13</xdr:row>
      <xdr:rowOff>76200</xdr:rowOff>
    </xdr:from>
    <xdr:to>
      <xdr:col>16</xdr:col>
      <xdr:colOff>609599</xdr:colOff>
      <xdr:row>39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5904A4-C2D5-4E8A-9FDA-38B363C63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48228</xdr:colOff>
      <xdr:row>0</xdr:row>
      <xdr:rowOff>85724</xdr:rowOff>
    </xdr:from>
    <xdr:to>
      <xdr:col>9</xdr:col>
      <xdr:colOff>400049</xdr:colOff>
      <xdr:row>12</xdr:row>
      <xdr:rowOff>152398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5004F-A9B3-443D-A353-01765ACE3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</xdr:colOff>
      <xdr:row>1</xdr:row>
      <xdr:rowOff>19189</xdr:rowOff>
    </xdr:from>
    <xdr:to>
      <xdr:col>24</xdr:col>
      <xdr:colOff>352424</xdr:colOff>
      <xdr:row>29</xdr:row>
      <xdr:rowOff>120227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974C67-46FC-4D17-BE01-0230D0BBB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14</xdr:row>
      <xdr:rowOff>38610</xdr:rowOff>
    </xdr:from>
    <xdr:to>
      <xdr:col>11</xdr:col>
      <xdr:colOff>523874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91160-CBD5-42C7-BAA2-16CC0048A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504825</xdr:colOff>
      <xdr:row>5</xdr:row>
      <xdr:rowOff>28575</xdr:rowOff>
    </xdr:from>
    <xdr:to>
      <xdr:col>29</xdr:col>
      <xdr:colOff>381000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18E87-DF81-402C-A3D7-D64AAC38E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290512</xdr:colOff>
      <xdr:row>3</xdr:row>
      <xdr:rowOff>47625</xdr:rowOff>
    </xdr:from>
    <xdr:to>
      <xdr:col>19</xdr:col>
      <xdr:colOff>457200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1C08B-66C1-4CE6-918F-C274BF96C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142875</xdr:rowOff>
    </xdr:from>
    <xdr:to>
      <xdr:col>15</xdr:col>
      <xdr:colOff>171449</xdr:colOff>
      <xdr:row>19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EDE9D-CF11-4354-B89A-B522C5F68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1</xdr:row>
      <xdr:rowOff>9525</xdr:rowOff>
    </xdr:from>
    <xdr:to>
      <xdr:col>20</xdr:col>
      <xdr:colOff>361950</xdr:colOff>
      <xdr:row>30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78BA76-59A0-423D-94BE-DE6E8878B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280986</xdr:colOff>
      <xdr:row>9</xdr:row>
      <xdr:rowOff>66674</xdr:rowOff>
    </xdr:from>
    <xdr:to>
      <xdr:col>19</xdr:col>
      <xdr:colOff>552449</xdr:colOff>
      <xdr:row>35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269A2-1C4D-4D91-BD3E-B8AAD6061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2</xdr:row>
      <xdr:rowOff>152400</xdr:rowOff>
    </xdr:from>
    <xdr:to>
      <xdr:col>24</xdr:col>
      <xdr:colOff>523875</xdr:colOff>
      <xdr:row>24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10319-99D2-4710-BAFC-7BF1730B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10</xdr:row>
      <xdr:rowOff>9525</xdr:rowOff>
    </xdr:from>
    <xdr:to>
      <xdr:col>23</xdr:col>
      <xdr:colOff>284877</xdr:colOff>
      <xdr:row>24</xdr:row>
      <xdr:rowOff>18715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8FF04C-A5F5-4F33-9FDD-86F7720FE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0" y="1914525"/>
          <a:ext cx="6980952" cy="267619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7</xdr:col>
      <xdr:colOff>371475</xdr:colOff>
      <xdr:row>0</xdr:row>
      <xdr:rowOff>0</xdr:rowOff>
    </xdr:from>
    <xdr:to>
      <xdr:col>21</xdr:col>
      <xdr:colOff>37422</xdr:colOff>
      <xdr:row>42</xdr:row>
      <xdr:rowOff>5404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921254-00A2-4459-8BA5-7EC205ADF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5" y="0"/>
          <a:ext cx="8467047" cy="80064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21</xdr:row>
      <xdr:rowOff>161925</xdr:rowOff>
    </xdr:from>
    <xdr:to>
      <xdr:col>38</xdr:col>
      <xdr:colOff>122952</xdr:colOff>
      <xdr:row>35</xdr:row>
      <xdr:rowOff>171115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BC082B-5F92-4DCB-800C-B67763F86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4181475"/>
          <a:ext cx="6980952" cy="267619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9</xdr:col>
      <xdr:colOff>19050</xdr:colOff>
      <xdr:row>30</xdr:row>
      <xdr:rowOff>19875</xdr:rowOff>
    </xdr:from>
    <xdr:to>
      <xdr:col>17</xdr:col>
      <xdr:colOff>66676</xdr:colOff>
      <xdr:row>43</xdr:row>
      <xdr:rowOff>146604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A9302F-77C9-4638-87F0-E4CA740BF68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152400</xdr:colOff>
      <xdr:row>22</xdr:row>
      <xdr:rowOff>22780</xdr:rowOff>
    </xdr:from>
    <xdr:to>
      <xdr:col>19</xdr:col>
      <xdr:colOff>76201</xdr:colOff>
      <xdr:row>44</xdr:row>
      <xdr:rowOff>159859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24392-71AB-452B-891F-0AF64CE564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7</xdr:col>
      <xdr:colOff>85725</xdr:colOff>
      <xdr:row>22</xdr:row>
      <xdr:rowOff>104775</xdr:rowOff>
    </xdr:from>
    <xdr:to>
      <xdr:col>19</xdr:col>
      <xdr:colOff>9526</xdr:colOff>
      <xdr:row>45</xdr:row>
      <xdr:rowOff>51354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FE1FF-F6A3-448F-98C2-DA0AB5BBE1E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21</xdr:row>
      <xdr:rowOff>161925</xdr:rowOff>
    </xdr:from>
    <xdr:to>
      <xdr:col>38</xdr:col>
      <xdr:colOff>122952</xdr:colOff>
      <xdr:row>35</xdr:row>
      <xdr:rowOff>171115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7AA48-DBB3-4915-A278-F16341A33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4181475"/>
          <a:ext cx="6980952" cy="267619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31</xdr:col>
      <xdr:colOff>212072</xdr:colOff>
      <xdr:row>1</xdr:row>
      <xdr:rowOff>47625</xdr:rowOff>
    </xdr:from>
    <xdr:to>
      <xdr:col>38</xdr:col>
      <xdr:colOff>291362</xdr:colOff>
      <xdr:row>12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60D53-DF9A-4213-93AF-7DF67EA4B90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9</xdr:col>
      <xdr:colOff>257175</xdr:colOff>
      <xdr:row>7</xdr:row>
      <xdr:rowOff>95250</xdr:rowOff>
    </xdr:from>
    <xdr:to>
      <xdr:col>21</xdr:col>
      <xdr:colOff>114301</xdr:colOff>
      <xdr:row>30</xdr:row>
      <xdr:rowOff>41829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026853-1CDA-4164-B52D-7B95ECC5046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13</xdr:row>
      <xdr:rowOff>161925</xdr:rowOff>
    </xdr:from>
    <xdr:to>
      <xdr:col>11</xdr:col>
      <xdr:colOff>589677</xdr:colOff>
      <xdr:row>27</xdr:row>
      <xdr:rowOff>171115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6804DF-BFA9-4C5A-99CB-0F147B662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2638425"/>
          <a:ext cx="6980952" cy="267619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"/>
  <sheetViews>
    <sheetView workbookViewId="0">
      <selection activeCell="K20" sqref="K20"/>
    </sheetView>
  </sheetViews>
  <sheetFormatPr defaultRowHeight="15"/>
  <cols>
    <col min="9" max="9" width="1.7109375" customWidth="1"/>
    <col min="10" max="11" width="7.7109375" bestFit="1" customWidth="1"/>
    <col min="12" max="12" width="1.7109375" customWidth="1"/>
    <col min="13" max="14" width="4.28515625" customWidth="1"/>
    <col min="15" max="15" width="1.7109375" customWidth="1"/>
    <col min="16" max="17" width="4.28515625" customWidth="1"/>
    <col min="18" max="18" width="1.7109375" customWidth="1"/>
    <col min="19" max="20" width="4.28515625" customWidth="1"/>
    <col min="21" max="21" width="1.7109375" customWidth="1"/>
    <col min="22" max="23" width="4.28515625" customWidth="1"/>
    <col min="26" max="26" width="3.7109375" customWidth="1"/>
  </cols>
  <sheetData>
    <row r="1" spans="1:33">
      <c r="A1" t="s">
        <v>4</v>
      </c>
      <c r="B1" t="s">
        <v>0</v>
      </c>
      <c r="C1" t="s">
        <v>1</v>
      </c>
      <c r="D1" t="s">
        <v>16</v>
      </c>
      <c r="E1" s="9"/>
      <c r="F1" s="9"/>
      <c r="G1" s="9"/>
      <c r="H1" s="9"/>
      <c r="I1" s="9"/>
      <c r="J1" s="9"/>
      <c r="K1" s="9"/>
      <c r="L1" s="9"/>
      <c r="M1" s="3" t="s">
        <v>8</v>
      </c>
      <c r="N1" s="3" t="s">
        <v>55</v>
      </c>
      <c r="O1" s="9"/>
      <c r="P1" s="3"/>
      <c r="Q1" s="3" t="s">
        <v>56</v>
      </c>
      <c r="R1" s="9"/>
      <c r="S1" s="15" t="s">
        <v>6</v>
      </c>
      <c r="T1" s="15" t="s">
        <v>55</v>
      </c>
      <c r="U1" s="9"/>
      <c r="V1" s="15"/>
      <c r="W1" s="15" t="s">
        <v>56</v>
      </c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>
      <c r="A2">
        <v>0</v>
      </c>
      <c r="B2">
        <v>485</v>
      </c>
      <c r="C2">
        <v>505</v>
      </c>
      <c r="D2">
        <f>(C3-C2)/(B3-B2)</f>
        <v>-2.0833333333333335</v>
      </c>
      <c r="E2" s="9"/>
      <c r="F2" s="9" t="s">
        <v>68</v>
      </c>
      <c r="G2" s="9" t="s">
        <v>69</v>
      </c>
      <c r="H2" s="9" t="s">
        <v>70</v>
      </c>
      <c r="I2" s="9"/>
      <c r="J2" s="9"/>
      <c r="K2" s="9"/>
      <c r="L2" s="9"/>
      <c r="M2" s="3" t="s">
        <v>57</v>
      </c>
      <c r="N2" s="3" t="s">
        <v>58</v>
      </c>
      <c r="O2" s="9"/>
      <c r="P2" s="3" t="s">
        <v>57</v>
      </c>
      <c r="Q2" s="3" t="s">
        <v>58</v>
      </c>
      <c r="R2" s="9"/>
      <c r="S2" s="15" t="s">
        <v>57</v>
      </c>
      <c r="T2" s="15" t="s">
        <v>58</v>
      </c>
      <c r="U2" s="9"/>
      <c r="V2" s="15" t="s">
        <v>57</v>
      </c>
      <c r="W2" s="15" t="s">
        <v>58</v>
      </c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>
      <c r="A3">
        <v>1</v>
      </c>
      <c r="B3">
        <v>545</v>
      </c>
      <c r="C3">
        <v>380</v>
      </c>
      <c r="D3">
        <f t="shared" ref="D3" si="0">(C4-C3)/(B4-B3)</f>
        <v>4.166666666666667</v>
      </c>
      <c r="E3" s="9"/>
      <c r="F3" s="9">
        <v>-0.5</v>
      </c>
      <c r="G3" s="9">
        <v>-0.42857142857142855</v>
      </c>
      <c r="H3" s="9">
        <v>1.2058823529411764</v>
      </c>
      <c r="I3" s="9"/>
      <c r="J3" s="9" t="str">
        <f>IF($H$26="Decreasing",IF($F$3&lt;$G$3,"AFTER", "BEFORE" ),IF($F$3&gt;$G$3,"AFTER", "BEFORE" ))</f>
        <v>AFTER</v>
      </c>
      <c r="K3" s="9" t="str">
        <f>IF($H$29="Decreasing",IF(-$G$3&gt;$H$3, "AFTER", "BEFORE"),IF(-$G$3&lt;$H$3, "AFTER", "BEFORE"))</f>
        <v>AFTER</v>
      </c>
      <c r="L3" s="9"/>
      <c r="M3" s="3">
        <v>250</v>
      </c>
      <c r="N3" s="3">
        <f>INDEX($A$2:$D$12,MATCH(M3,$B$2:$B$11,0),3)</f>
        <v>485</v>
      </c>
      <c r="O3" s="9"/>
      <c r="P3" s="3">
        <v>515</v>
      </c>
      <c r="Q3" s="3">
        <f>INDEX($A$2:$D$12,MATCH(P3,$B$2:$B$11,0),3)</f>
        <v>255</v>
      </c>
      <c r="R3" s="9"/>
      <c r="S3" s="15">
        <v>545</v>
      </c>
      <c r="T3" s="15">
        <f>INDEX($A$2:$D$12,MATCH(S3,$B$2:$B$11,0),3)</f>
        <v>380</v>
      </c>
      <c r="U3" s="9"/>
      <c r="V3" s="15">
        <v>335</v>
      </c>
      <c r="W3" s="15">
        <f>INDEX($A$2:$D$12,MATCH(V3,$B$2:$B$11,0),3)</f>
        <v>545</v>
      </c>
      <c r="X3" s="9"/>
      <c r="Y3" s="14"/>
      <c r="Z3" s="9"/>
      <c r="AA3" s="9"/>
      <c r="AB3" s="9"/>
      <c r="AC3" s="9"/>
      <c r="AD3" s="14"/>
      <c r="AE3" s="14"/>
      <c r="AF3" s="9"/>
      <c r="AG3" s="9"/>
    </row>
    <row r="4" spans="1:33">
      <c r="A4">
        <v>2</v>
      </c>
      <c r="B4">
        <v>515</v>
      </c>
      <c r="C4">
        <v>255</v>
      </c>
      <c r="D4">
        <f t="shared" ref="D4:D11" si="1">(C5-C4)/(B5-B4)</f>
        <v>-0.10714285714285714</v>
      </c>
      <c r="E4" s="9"/>
      <c r="F4" s="9">
        <v>-0.5</v>
      </c>
      <c r="G4" s="9">
        <v>-2.0833333333333335</v>
      </c>
      <c r="H4" s="9">
        <v>1.2058823529411764</v>
      </c>
      <c r="I4" s="9"/>
      <c r="J4" s="9" t="str">
        <f>IF($H$26="Decreasing",IF($B$15&lt;$F$15,"AFTER", "BEFORE" ),IF($B$15&gt;$F$15,"AFTER", "BEFORE" ))</f>
        <v>BEFORE</v>
      </c>
      <c r="K4" s="9" t="str">
        <f t="shared" ref="K4" si="2">IF($H$29="Decreasing",IF(-$F$15&gt;$B$22, "AFTER", "BEFORE"),IF(-$F$15&lt;$B$22, "AFTER", "BEFORE"))</f>
        <v>BEFORE</v>
      </c>
      <c r="L4" s="9"/>
      <c r="M4" s="3">
        <v>250</v>
      </c>
      <c r="N4" s="3">
        <f>INDEX($A$2:$D$12,MATCH(M4,$B$2:$B$11,0),3)</f>
        <v>485</v>
      </c>
      <c r="O4" s="9"/>
      <c r="P4" s="3">
        <v>515</v>
      </c>
      <c r="Q4" s="3">
        <f>INDEX($A$2:$D$12,MATCH(P4,$B$2:$B$11,0),3)</f>
        <v>255</v>
      </c>
      <c r="R4" s="9"/>
      <c r="S4" s="15">
        <v>545</v>
      </c>
      <c r="T4" s="15">
        <f>INDEX($A$2:$D$12,MATCH(S4,$B$2:$B$11,0),3)</f>
        <v>380</v>
      </c>
      <c r="U4" s="9"/>
      <c r="V4" s="15">
        <v>485</v>
      </c>
      <c r="W4" s="15">
        <f>INDEX($A$2:$D$12,MATCH(V4,$B$2:$B$11,0),3)</f>
        <v>505</v>
      </c>
      <c r="X4" s="9" t="s">
        <v>63</v>
      </c>
      <c r="Y4" s="12"/>
      <c r="Z4" s="9"/>
      <c r="AA4" s="9"/>
      <c r="AB4" s="13"/>
      <c r="AC4" s="9"/>
      <c r="AD4" s="12"/>
      <c r="AE4" s="12"/>
      <c r="AF4" s="9"/>
      <c r="AG4" s="9"/>
    </row>
    <row r="5" spans="1:33">
      <c r="A5">
        <v>3</v>
      </c>
      <c r="B5">
        <v>375</v>
      </c>
      <c r="C5">
        <v>270</v>
      </c>
      <c r="D5">
        <f t="shared" si="1"/>
        <v>-0.5</v>
      </c>
      <c r="E5" s="9"/>
      <c r="F5" s="9"/>
      <c r="G5" s="9"/>
      <c r="H5" s="9"/>
      <c r="I5" s="9"/>
      <c r="J5" s="9" t="str">
        <f>IF($H$26="Decreasing",IF($B$15&lt;$F$15,"AFTER", "BEFORE" ),IF($B$15&gt;$F$15,"AFTER", "BEFORE" ))</f>
        <v>BEFORE</v>
      </c>
      <c r="K5" s="9" t="str">
        <f>IF($H$29="Decreasing",IF(-$F$15&gt;$B$22, "AFTER", "BEFORE"),IF(-$F$15&lt;=$B$22, "AFTER", "BEFORE"))</f>
        <v>AFTER</v>
      </c>
      <c r="L5" s="9"/>
      <c r="M5" s="3">
        <v>250</v>
      </c>
      <c r="N5" s="3">
        <f t="shared" ref="N5:N9" si="3">INDEX($A$2:$D$12,MATCH(M5,$B$2:$B$11,0),3)</f>
        <v>485</v>
      </c>
      <c r="O5" s="9"/>
      <c r="P5" s="3">
        <v>515</v>
      </c>
      <c r="Q5" s="3">
        <f t="shared" ref="Q5:Q9" si="4">INDEX($A$2:$D$12,MATCH(P5,$B$2:$B$11,0),3)</f>
        <v>255</v>
      </c>
      <c r="R5" s="9"/>
      <c r="S5" s="15">
        <v>485</v>
      </c>
      <c r="T5" s="15">
        <f t="shared" ref="T5:T9" si="5">INDEX($A$2:$D$12,MATCH(S5,$B$2:$B$11,0),3)</f>
        <v>505</v>
      </c>
      <c r="U5" s="9"/>
      <c r="V5" s="15">
        <v>485</v>
      </c>
      <c r="W5" s="15">
        <f t="shared" ref="W5:W9" si="6">INDEX($A$2:$D$12,MATCH(V5,$B$2:$B$11,0),3)</f>
        <v>505</v>
      </c>
      <c r="X5" s="9" t="s">
        <v>71</v>
      </c>
      <c r="Y5" s="12"/>
      <c r="Z5" s="9"/>
      <c r="AA5" s="9"/>
      <c r="AB5" s="13"/>
      <c r="AC5" s="9"/>
      <c r="AD5" s="12"/>
      <c r="AE5" s="12"/>
      <c r="AF5" s="9"/>
      <c r="AG5" s="9"/>
    </row>
    <row r="6" spans="1:33">
      <c r="A6">
        <v>4</v>
      </c>
      <c r="B6">
        <v>315</v>
      </c>
      <c r="C6">
        <v>300</v>
      </c>
      <c r="D6">
        <f t="shared" si="1"/>
        <v>-1</v>
      </c>
      <c r="E6" s="9"/>
      <c r="F6" s="9"/>
      <c r="G6" s="9"/>
      <c r="H6" s="9"/>
      <c r="I6" s="9"/>
      <c r="J6" s="9" t="str">
        <f>IF($H$26="Decreasing",IF($B$15&lt;$F$15,"AFTER", "BEFORE" ),IF($B$15&gt;$F$15,"AFTER", "BEFORE" ))</f>
        <v>BEFORE</v>
      </c>
      <c r="K6" s="9" t="str">
        <f t="shared" ref="K6:K8" si="7">IF($H$29="Decreasing",IF(-$F$15&gt;$B$22, "AFTER", "BEFORE"),IF(-$F$15&lt;=$B$22, "AFTER", "BEFORE"))</f>
        <v>AFTER</v>
      </c>
      <c r="L6" s="9"/>
      <c r="M6" s="3">
        <v>250</v>
      </c>
      <c r="N6" s="3">
        <f t="shared" si="3"/>
        <v>485</v>
      </c>
      <c r="O6" s="9"/>
      <c r="P6" s="3">
        <v>315</v>
      </c>
      <c r="Q6" s="3">
        <f t="shared" si="4"/>
        <v>300</v>
      </c>
      <c r="R6" s="9"/>
      <c r="S6" s="15">
        <v>485</v>
      </c>
      <c r="T6" s="15">
        <f t="shared" si="5"/>
        <v>505</v>
      </c>
      <c r="U6" s="9"/>
      <c r="V6" s="15">
        <v>485</v>
      </c>
      <c r="W6" s="15">
        <f t="shared" si="6"/>
        <v>505</v>
      </c>
      <c r="X6" s="9" t="s">
        <v>64</v>
      </c>
      <c r="Y6" s="12"/>
      <c r="Z6" s="9"/>
      <c r="AA6" s="9"/>
      <c r="AB6" s="13"/>
      <c r="AC6" s="9"/>
      <c r="AD6" s="12"/>
      <c r="AE6" s="12"/>
      <c r="AF6" s="9"/>
      <c r="AG6" s="9"/>
    </row>
    <row r="7" spans="1:33">
      <c r="A7">
        <v>5</v>
      </c>
      <c r="B7">
        <v>270</v>
      </c>
      <c r="C7">
        <v>345</v>
      </c>
      <c r="D7">
        <f t="shared" si="1"/>
        <v>-7</v>
      </c>
      <c r="E7" s="9"/>
      <c r="F7" s="9"/>
      <c r="G7" s="9"/>
      <c r="H7" s="9"/>
      <c r="I7" s="9"/>
      <c r="J7" s="9" t="str">
        <f>IF($H$26="Decreasing",IF($B$15&lt;$F$15,"AFTER", "BEFORE" ),IF($B$15&gt;$F$15,"AFTER", "BEFORE" ))</f>
        <v>BEFORE</v>
      </c>
      <c r="K7" s="9" t="str">
        <f t="shared" si="7"/>
        <v>AFTER</v>
      </c>
      <c r="L7" s="9"/>
      <c r="M7" s="3">
        <v>270</v>
      </c>
      <c r="N7" s="3">
        <f t="shared" si="3"/>
        <v>345</v>
      </c>
      <c r="O7" s="9"/>
      <c r="P7" s="3">
        <v>315</v>
      </c>
      <c r="Q7" s="3">
        <f t="shared" si="4"/>
        <v>300</v>
      </c>
      <c r="R7" s="9"/>
      <c r="S7" s="15">
        <v>485</v>
      </c>
      <c r="T7" s="15">
        <f t="shared" si="5"/>
        <v>505</v>
      </c>
      <c r="U7" s="9"/>
      <c r="V7" s="15">
        <v>485</v>
      </c>
      <c r="W7" s="15">
        <f t="shared" si="6"/>
        <v>505</v>
      </c>
      <c r="X7" s="9" t="s">
        <v>65</v>
      </c>
      <c r="Y7" s="12"/>
      <c r="Z7" s="9"/>
      <c r="AA7" s="9"/>
      <c r="AB7" s="13"/>
      <c r="AC7" s="9"/>
      <c r="AD7" s="12"/>
      <c r="AE7" s="12"/>
      <c r="AF7" s="9"/>
      <c r="AG7" s="9"/>
    </row>
    <row r="8" spans="1:33">
      <c r="A8">
        <v>6</v>
      </c>
      <c r="B8">
        <v>250</v>
      </c>
      <c r="C8">
        <v>485</v>
      </c>
      <c r="D8">
        <f t="shared" si="1"/>
        <v>0.88888888888888884</v>
      </c>
      <c r="E8" s="11"/>
      <c r="F8" s="11"/>
      <c r="G8" s="11"/>
      <c r="H8" s="11"/>
      <c r="I8" s="11"/>
      <c r="J8" s="9" t="str">
        <f>IF($H$26="Decreasing",IF($B$15&lt;$F$15,"AFTER", "BEFORE" ),IF($B$15&gt;$F$15,"AFTER", "BEFORE" ))</f>
        <v>BEFORE</v>
      </c>
      <c r="K8" s="9" t="str">
        <f t="shared" si="7"/>
        <v>AFTER</v>
      </c>
      <c r="L8" s="11"/>
      <c r="M8" s="3">
        <v>270</v>
      </c>
      <c r="N8" s="3">
        <f t="shared" si="3"/>
        <v>345</v>
      </c>
      <c r="O8" s="9"/>
      <c r="P8" s="3">
        <v>315</v>
      </c>
      <c r="Q8" s="3">
        <f t="shared" si="4"/>
        <v>300</v>
      </c>
      <c r="R8" s="9"/>
      <c r="S8" s="15">
        <v>485</v>
      </c>
      <c r="T8" s="15">
        <f t="shared" si="5"/>
        <v>505</v>
      </c>
      <c r="U8" s="9"/>
      <c r="V8" s="15">
        <v>485</v>
      </c>
      <c r="W8" s="15">
        <f t="shared" si="6"/>
        <v>505</v>
      </c>
      <c r="X8" s="9"/>
      <c r="Y8" s="12"/>
      <c r="Z8" s="9"/>
      <c r="AA8" s="9"/>
      <c r="AB8" s="13"/>
      <c r="AC8" s="9"/>
      <c r="AD8" s="12"/>
      <c r="AE8" s="12"/>
      <c r="AF8" s="9"/>
      <c r="AG8" s="9"/>
    </row>
    <row r="9" spans="1:33">
      <c r="A9">
        <v>7</v>
      </c>
      <c r="B9">
        <v>295</v>
      </c>
      <c r="C9">
        <v>525</v>
      </c>
      <c r="D9">
        <f t="shared" si="1"/>
        <v>0.5</v>
      </c>
      <c r="E9" s="11"/>
      <c r="F9" s="11"/>
      <c r="G9" s="11"/>
      <c r="H9" s="11"/>
      <c r="I9" s="11"/>
      <c r="J9" s="11"/>
      <c r="K9" s="11"/>
      <c r="L9" s="11"/>
      <c r="M9" s="3">
        <v>270</v>
      </c>
      <c r="N9" s="3">
        <f t="shared" si="3"/>
        <v>345</v>
      </c>
      <c r="O9" s="9"/>
      <c r="P9" s="3">
        <v>315</v>
      </c>
      <c r="Q9" s="3">
        <f t="shared" si="4"/>
        <v>300</v>
      </c>
      <c r="R9" s="9"/>
      <c r="S9" s="15">
        <v>485</v>
      </c>
      <c r="T9" s="15">
        <f t="shared" si="5"/>
        <v>505</v>
      </c>
      <c r="U9" s="9"/>
      <c r="V9" s="15">
        <v>485</v>
      </c>
      <c r="W9" s="15">
        <f t="shared" si="6"/>
        <v>505</v>
      </c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>
      <c r="A10">
        <v>8</v>
      </c>
      <c r="B10">
        <v>335</v>
      </c>
      <c r="C10">
        <v>545</v>
      </c>
      <c r="D10">
        <f t="shared" si="1"/>
        <v>-0.125</v>
      </c>
      <c r="G10" s="9"/>
      <c r="H10" s="9"/>
      <c r="I10" s="9"/>
      <c r="J10" s="9"/>
      <c r="K10" s="9"/>
      <c r="L10" s="12"/>
      <c r="M10" s="12"/>
      <c r="N10" s="9"/>
      <c r="O10" s="9"/>
      <c r="P10" s="9"/>
      <c r="Q10" s="9"/>
      <c r="R10" s="12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>
      <c r="A11">
        <v>9</v>
      </c>
      <c r="B11">
        <v>415</v>
      </c>
      <c r="C11">
        <v>535</v>
      </c>
      <c r="D11">
        <f t="shared" si="1"/>
        <v>-0.42857142857142855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2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>
      <c r="A12">
        <v>10</v>
      </c>
      <c r="B12">
        <f>B2</f>
        <v>485</v>
      </c>
      <c r="C12">
        <f>C2</f>
        <v>505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2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>
      <c r="G13" s="9"/>
      <c r="H13" s="9"/>
      <c r="I13" s="9"/>
      <c r="J13" s="9"/>
      <c r="O13" s="9"/>
      <c r="P13" s="9"/>
      <c r="Q13" s="9"/>
      <c r="R13" s="12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>
      <c r="G14" s="9"/>
      <c r="H14" s="9"/>
      <c r="I14" s="9"/>
      <c r="J14" s="9"/>
      <c r="K14" t="str">
        <f>IF(H26="Decreasing",IF(-B22&lt;D5,"Eliminate BEFORE a", "Eliminate AFTER a"),IF(-B22&gt;D5,"Eliminate BEFORE a", "Eliminate AFTER a"))</f>
        <v>Eliminate BEFORE a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>
      <c r="A15" s="9" t="s">
        <v>16</v>
      </c>
      <c r="B15" s="9">
        <f>-B22</f>
        <v>-0.7441860465116279</v>
      </c>
      <c r="C15" s="9"/>
      <c r="D15" s="9"/>
      <c r="E15" s="9" t="s">
        <v>16</v>
      </c>
      <c r="F15" s="9">
        <f>-B22</f>
        <v>-0.7441860465116279</v>
      </c>
      <c r="G15" s="9"/>
      <c r="H15" s="9"/>
      <c r="I15" s="9"/>
      <c r="J15" s="9"/>
      <c r="K15" t="str">
        <f>IF(H26="Decreasing",IF(-B22&lt;D6,"Eliminate BEFORE a", "Eliminate AFTER a"),IF(-B22&gt;D6,"Eliminate BEFORE a", "Eliminate AFTER a"))</f>
        <v>Eliminate AFTER a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>
      <c r="A16" s="9"/>
      <c r="B16" s="9">
        <f>B17-50</f>
        <v>220</v>
      </c>
      <c r="C16" s="9">
        <f>B15*(B16-B17)+C17</f>
        <v>382.2093023255814</v>
      </c>
      <c r="D16" s="9"/>
      <c r="E16" s="9"/>
      <c r="F16" s="9">
        <f>F17-50</f>
        <v>435</v>
      </c>
      <c r="G16" s="9">
        <f>F15*(F16-F17)+G17</f>
        <v>542.20930232558135</v>
      </c>
      <c r="H16" s="9"/>
      <c r="I16" s="9"/>
      <c r="J16" s="9"/>
      <c r="K16" t="s">
        <v>72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>
      <c r="A17" s="9" t="s">
        <v>48</v>
      </c>
      <c r="B17" s="9">
        <v>270</v>
      </c>
      <c r="C17" s="9">
        <f>INDEX($A$2:$D$12,MATCH(B17,$B$2:$B$11,0),3)</f>
        <v>345</v>
      </c>
      <c r="D17" s="9"/>
      <c r="E17" s="9" t="s">
        <v>48</v>
      </c>
      <c r="F17" s="9">
        <v>485</v>
      </c>
      <c r="G17" s="9">
        <f>INDEX($A$2:$D$12,MATCH(F17,$B$2:$B$11,0),3)</f>
        <v>505</v>
      </c>
      <c r="H17" s="9"/>
      <c r="I17" s="9"/>
      <c r="J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>
      <c r="A18" s="9"/>
      <c r="B18" s="9">
        <f>B17+50</f>
        <v>320</v>
      </c>
      <c r="C18" s="9">
        <f>B15*(B18-B17)+C17</f>
        <v>307.7906976744186</v>
      </c>
      <c r="D18" s="9"/>
      <c r="E18" s="9"/>
      <c r="F18" s="9">
        <f>F17+50</f>
        <v>535</v>
      </c>
      <c r="G18" s="9">
        <f>F15*(F18-F17)+G17</f>
        <v>467.7906976744186</v>
      </c>
      <c r="H18" s="9"/>
      <c r="I18" s="9"/>
      <c r="J18" s="9"/>
      <c r="K18">
        <f>D6</f>
        <v>-1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>
      <c r="A19" s="9"/>
      <c r="B19" s="9"/>
      <c r="C19" s="9"/>
      <c r="D19" s="9"/>
      <c r="E19" s="9"/>
      <c r="F19" s="9"/>
      <c r="G19" s="9"/>
      <c r="H19" s="9"/>
      <c r="I19" s="9"/>
      <c r="J19" s="9"/>
      <c r="K19">
        <f>-1/K18</f>
        <v>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>
      <c r="A20" s="9"/>
      <c r="B20" s="9">
        <f>B17+200</f>
        <v>470</v>
      </c>
      <c r="C20" s="9">
        <f>-B15*(B20-B17)+C17</f>
        <v>493.83720930232562</v>
      </c>
      <c r="D20" s="9"/>
      <c r="E20" s="9"/>
      <c r="F20" s="9">
        <f>F17-200</f>
        <v>285</v>
      </c>
      <c r="G20" s="9">
        <f>-F15*(F20-F17)+G17</f>
        <v>356.16279069767438</v>
      </c>
      <c r="H20" s="9"/>
      <c r="I20" s="9"/>
      <c r="J20" s="9" t="s">
        <v>73</v>
      </c>
      <c r="K20">
        <f>( S5 + POWER( K18, 2 ) * M7 - K18 * ( N7 - T5 ) ) / ( POWER( K18, 2 ) + 1 )</f>
        <v>297.5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>
      <c r="A21" s="9"/>
      <c r="B21" s="9"/>
      <c r="C21" s="9"/>
      <c r="D21" s="9"/>
      <c r="E21" s="9"/>
      <c r="F21" s="9"/>
      <c r="G21" s="9"/>
      <c r="H21" s="9"/>
      <c r="I21" s="9"/>
      <c r="J21" s="9" t="s">
        <v>74</v>
      </c>
      <c r="K21">
        <f>K18*(K20-M7)+N7</f>
        <v>317.5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>
      <c r="A22" s="9" t="s">
        <v>50</v>
      </c>
      <c r="B22" s="9">
        <f>(G17-C17)/(F17-B17)</f>
        <v>0.7441860465116279</v>
      </c>
      <c r="C22" s="9"/>
      <c r="D22" s="9"/>
      <c r="E22" s="9"/>
      <c r="F22" s="9"/>
      <c r="G22" s="9"/>
      <c r="H22" s="9"/>
      <c r="I22" s="9"/>
      <c r="J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>
      <c r="A23" s="9"/>
      <c r="B23" s="9"/>
      <c r="C23" s="9"/>
      <c r="D23" s="9"/>
      <c r="E23" s="9"/>
      <c r="F23" s="9"/>
      <c r="G23" s="9"/>
      <c r="H23" s="9"/>
      <c r="I23" s="9"/>
      <c r="J23" s="9">
        <f>K20</f>
        <v>297.5</v>
      </c>
      <c r="K23">
        <f>K21</f>
        <v>317.5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>
      <c r="A24" s="9"/>
      <c r="B24" s="9"/>
      <c r="C24" s="9"/>
      <c r="D24" s="9"/>
      <c r="E24" s="9"/>
      <c r="F24" s="9"/>
      <c r="G24" s="9"/>
      <c r="H24" s="9"/>
      <c r="I24" s="9"/>
      <c r="J24" s="9">
        <f>J23</f>
        <v>297.5</v>
      </c>
      <c r="K24">
        <f>K25</f>
        <v>505</v>
      </c>
    </row>
    <row r="25" spans="1:33">
      <c r="A25" s="9"/>
      <c r="B25" s="9"/>
      <c r="C25" s="9"/>
      <c r="D25" s="9"/>
      <c r="E25" s="9"/>
      <c r="F25" s="9"/>
      <c r="G25" s="9"/>
      <c r="H25" s="9"/>
      <c r="I25" s="9"/>
      <c r="J25" s="9">
        <f>B2</f>
        <v>485</v>
      </c>
      <c r="K25">
        <f>C2</f>
        <v>505</v>
      </c>
    </row>
    <row r="26" spans="1:33">
      <c r="A26" s="9"/>
      <c r="B26" s="9"/>
      <c r="C26" s="9"/>
      <c r="D26" s="9"/>
      <c r="E26" s="9"/>
      <c r="F26" s="9"/>
      <c r="G26" s="9" t="s">
        <v>25</v>
      </c>
      <c r="H26" s="9" t="str">
        <f>IF(D4&gt;D7, "Decreasing", "Increasing")</f>
        <v>Decreasing</v>
      </c>
      <c r="J26" s="9">
        <f>J25</f>
        <v>485</v>
      </c>
      <c r="K26">
        <f>K23</f>
        <v>317.5</v>
      </c>
    </row>
    <row r="27" spans="1:33">
      <c r="A27" s="9"/>
      <c r="B27" s="9"/>
      <c r="C27" s="9"/>
      <c r="D27" s="9"/>
      <c r="E27" s="9"/>
      <c r="F27" s="9"/>
      <c r="G27" s="9" t="s">
        <v>66</v>
      </c>
      <c r="H27" s="9" t="str">
        <f>IF(D4&lt;D7, "Decreasing", "Increasing")</f>
        <v>Increasing</v>
      </c>
      <c r="J27" s="9">
        <f>J23</f>
        <v>297.5</v>
      </c>
      <c r="K27">
        <f>K23</f>
        <v>317.5</v>
      </c>
    </row>
    <row r="28" spans="1:33">
      <c r="A28" s="9"/>
      <c r="B28" s="9"/>
      <c r="C28" s="9"/>
      <c r="D28" s="9"/>
      <c r="E28" s="9"/>
      <c r="F28" s="9"/>
      <c r="G28" s="9" t="s">
        <v>26</v>
      </c>
      <c r="H28" s="9" t="str">
        <f>IF(D10&gt;D2, "Decreasing", "Increasing")</f>
        <v>Decreasing</v>
      </c>
      <c r="J28" s="9"/>
    </row>
    <row r="29" spans="1:33">
      <c r="A29" s="9"/>
      <c r="B29" s="9"/>
      <c r="C29" s="9"/>
      <c r="D29" s="9"/>
      <c r="E29" s="9"/>
      <c r="F29" s="9"/>
      <c r="G29" s="9" t="s">
        <v>67</v>
      </c>
      <c r="H29" s="9" t="str">
        <f>IF(D10&lt;D2, "Decreasing", "Increasing")</f>
        <v>Increasing</v>
      </c>
      <c r="J29" s="9"/>
    </row>
    <row r="30" spans="1:33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33">
      <c r="C31" s="9"/>
      <c r="D31" s="9"/>
      <c r="E31" t="s">
        <v>49</v>
      </c>
      <c r="F31" s="9"/>
      <c r="G31" s="9"/>
      <c r="H31" s="9"/>
      <c r="I31" s="9"/>
      <c r="J31" s="9"/>
    </row>
    <row r="32" spans="1:33">
      <c r="A32" t="s">
        <v>59</v>
      </c>
      <c r="B32" s="9"/>
      <c r="C32" t="s">
        <v>62</v>
      </c>
      <c r="D32" s="9"/>
      <c r="E32" t="s">
        <v>51</v>
      </c>
      <c r="F32" s="9"/>
      <c r="G32" s="9"/>
      <c r="H32" s="9"/>
      <c r="I32" s="9"/>
      <c r="J32" s="9"/>
    </row>
    <row r="33" spans="1:37">
      <c r="A33" t="s">
        <v>59</v>
      </c>
      <c r="B33" s="9"/>
      <c r="C33" t="s">
        <v>61</v>
      </c>
      <c r="D33" s="9"/>
      <c r="E33" t="s">
        <v>53</v>
      </c>
      <c r="F33" s="9"/>
      <c r="G33" s="9"/>
      <c r="H33" s="9"/>
      <c r="I33" s="9"/>
      <c r="J33" s="9"/>
    </row>
    <row r="34" spans="1:37">
      <c r="A34" t="s">
        <v>60</v>
      </c>
      <c r="B34" s="9"/>
      <c r="C34" t="s">
        <v>62</v>
      </c>
      <c r="D34" s="9"/>
      <c r="E34" t="s">
        <v>52</v>
      </c>
      <c r="F34" s="9"/>
      <c r="G34" s="9"/>
      <c r="H34" s="9"/>
      <c r="I34" s="9"/>
      <c r="J34" s="9"/>
    </row>
    <row r="35" spans="1:37">
      <c r="A35" t="s">
        <v>60</v>
      </c>
      <c r="B35" s="9"/>
      <c r="C35" t="s">
        <v>61</v>
      </c>
      <c r="D35" s="9"/>
      <c r="E35" t="s">
        <v>54</v>
      </c>
      <c r="F35" s="9"/>
      <c r="G35" s="9"/>
      <c r="H35" s="9"/>
      <c r="I35" s="9"/>
      <c r="J35" s="9"/>
    </row>
    <row r="41" spans="1:37"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45" customHeight="1">
      <c r="Y43" s="1"/>
      <c r="Z43" s="1"/>
      <c r="AA43" s="16"/>
      <c r="AB43" s="17"/>
      <c r="AC43" s="17"/>
      <c r="AD43" s="17"/>
      <c r="AE43" s="17"/>
      <c r="AF43" s="17"/>
      <c r="AG43" s="17"/>
      <c r="AH43" s="17"/>
      <c r="AI43" s="17"/>
      <c r="AJ43" s="18"/>
      <c r="AK43" s="1"/>
    </row>
    <row r="44" spans="1:37" ht="45" customHeight="1">
      <c r="Y44" s="1"/>
      <c r="Z44" s="1"/>
      <c r="AA44" s="19"/>
      <c r="AB44" s="20"/>
      <c r="AC44" s="20"/>
      <c r="AD44" s="20"/>
      <c r="AE44" s="20"/>
      <c r="AF44" s="20"/>
      <c r="AG44" s="20"/>
      <c r="AH44" s="20"/>
      <c r="AI44" s="20"/>
      <c r="AJ44" s="21"/>
      <c r="AK44" s="1"/>
    </row>
    <row r="45" spans="1:37" ht="45" customHeight="1">
      <c r="Y45" s="1"/>
      <c r="Z45" s="1"/>
      <c r="AA45" s="19"/>
      <c r="AB45" s="20"/>
      <c r="AC45" s="20"/>
      <c r="AD45" s="20"/>
      <c r="AE45" s="20"/>
      <c r="AF45" s="20"/>
      <c r="AG45" s="20"/>
      <c r="AH45" s="20"/>
      <c r="AI45" s="20"/>
      <c r="AJ45" s="21"/>
      <c r="AK45" s="1"/>
    </row>
    <row r="46" spans="1:37" ht="45" customHeight="1">
      <c r="Y46" s="1"/>
      <c r="Z46" s="1"/>
      <c r="AA46" s="19"/>
      <c r="AB46" s="20"/>
      <c r="AC46" s="20"/>
      <c r="AD46" s="20"/>
      <c r="AE46" s="20"/>
      <c r="AF46" s="20"/>
      <c r="AG46" s="20"/>
      <c r="AH46" s="20"/>
      <c r="AI46" s="20"/>
      <c r="AJ46" s="21"/>
      <c r="AK46" s="1"/>
    </row>
    <row r="47" spans="1:37" ht="45" customHeight="1">
      <c r="Y47" s="1"/>
      <c r="Z47" s="1"/>
      <c r="AA47" s="19"/>
      <c r="AB47" s="20"/>
      <c r="AC47" s="20"/>
      <c r="AD47" s="20"/>
      <c r="AE47" s="20"/>
      <c r="AF47" s="20"/>
      <c r="AG47" s="20"/>
      <c r="AH47" s="20"/>
      <c r="AI47" s="20"/>
      <c r="AJ47" s="21"/>
      <c r="AK47" s="1"/>
    </row>
    <row r="48" spans="1:37" ht="45" customHeight="1">
      <c r="Y48" s="1"/>
      <c r="Z48" s="1"/>
      <c r="AA48" s="19"/>
      <c r="AB48" s="20"/>
      <c r="AC48" s="20"/>
      <c r="AD48" s="20"/>
      <c r="AE48" s="20"/>
      <c r="AF48" s="20"/>
      <c r="AG48" s="20"/>
      <c r="AH48" s="20"/>
      <c r="AI48" s="20"/>
      <c r="AJ48" s="21"/>
      <c r="AK48" s="1"/>
    </row>
    <row r="49" spans="25:37" ht="45" customHeight="1">
      <c r="Y49" s="1"/>
      <c r="Z49" s="1"/>
      <c r="AA49" s="19"/>
      <c r="AB49" s="20"/>
      <c r="AC49" s="20"/>
      <c r="AD49" s="20"/>
      <c r="AE49" s="20"/>
      <c r="AF49" s="20"/>
      <c r="AG49" s="20"/>
      <c r="AH49" s="20"/>
      <c r="AI49" s="20"/>
      <c r="AJ49" s="21"/>
      <c r="AK49" s="1"/>
    </row>
    <row r="50" spans="25:37" ht="45" customHeight="1">
      <c r="Y50" s="1"/>
      <c r="Z50" s="1"/>
      <c r="AA50" s="19"/>
      <c r="AB50" s="20"/>
      <c r="AC50" s="20"/>
      <c r="AD50" s="20"/>
      <c r="AE50" s="20"/>
      <c r="AF50" s="20"/>
      <c r="AG50" s="20"/>
      <c r="AH50" s="20"/>
      <c r="AI50" s="20"/>
      <c r="AJ50" s="21"/>
      <c r="AK50" s="1"/>
    </row>
    <row r="51" spans="25:37" ht="45" customHeight="1">
      <c r="Y51" s="1"/>
      <c r="Z51" s="1"/>
      <c r="AA51" s="19"/>
      <c r="AB51" s="20"/>
      <c r="AC51" s="20"/>
      <c r="AD51" s="20"/>
      <c r="AE51" s="20"/>
      <c r="AF51" s="20"/>
      <c r="AG51" s="20"/>
      <c r="AH51" s="20"/>
      <c r="AI51" s="20"/>
      <c r="AJ51" s="21"/>
      <c r="AK51" s="1"/>
    </row>
    <row r="52" spans="25:37" ht="45" customHeight="1">
      <c r="Y52" s="1"/>
      <c r="Z52" s="1"/>
      <c r="AA52" s="22"/>
      <c r="AB52" s="23"/>
      <c r="AC52" s="23"/>
      <c r="AD52" s="23"/>
      <c r="AE52" s="23"/>
      <c r="AF52" s="23"/>
      <c r="AG52" s="23"/>
      <c r="AH52" s="23"/>
      <c r="AI52" s="23"/>
      <c r="AJ52" s="24"/>
      <c r="AK52" s="1"/>
    </row>
    <row r="53" spans="25:37"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25:37"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25:37"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</sheetData>
  <conditionalFormatting sqref="M4:W9">
    <cfRule type="expression" dxfId="6" priority="1">
      <formula>NOT(M4=M3)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12" sqref="A12:G19"/>
    </sheetView>
  </sheetViews>
  <sheetFormatPr defaultColWidth="9.28515625" defaultRowHeight="15"/>
  <cols>
    <col min="1" max="7" width="9.28515625" style="9"/>
    <col min="8" max="8" width="2.85546875" style="9" customWidth="1"/>
    <col min="9" max="10" width="9.28515625" style="9"/>
    <col min="11" max="11" width="1.85546875" style="9" customWidth="1"/>
    <col min="12" max="13" width="4" style="9" bestFit="1" customWidth="1"/>
    <col min="14" max="14" width="1.5703125" style="9" customWidth="1"/>
    <col min="15" max="16" width="4" style="9" bestFit="1" customWidth="1"/>
    <col min="17" max="17" width="1.85546875" style="9" customWidth="1"/>
    <col min="18" max="19" width="4" style="9" bestFit="1" customWidth="1"/>
    <col min="20" max="20" width="1.85546875" style="9" customWidth="1"/>
    <col min="21" max="22" width="4" style="9" bestFit="1" customWidth="1"/>
    <col min="23" max="16384" width="9.28515625" style="9"/>
  </cols>
  <sheetData>
    <row r="1" spans="1:23">
      <c r="A1" s="9" t="s">
        <v>4</v>
      </c>
      <c r="B1" s="9" t="s">
        <v>0</v>
      </c>
      <c r="C1" s="9" t="s">
        <v>1</v>
      </c>
      <c r="D1" s="9" t="s">
        <v>16</v>
      </c>
      <c r="L1" s="3" t="s">
        <v>5</v>
      </c>
      <c r="M1" s="3" t="s">
        <v>55</v>
      </c>
      <c r="O1" s="3"/>
      <c r="P1" s="3" t="s">
        <v>56</v>
      </c>
      <c r="R1" s="15" t="s">
        <v>7</v>
      </c>
      <c r="S1" s="15" t="s">
        <v>55</v>
      </c>
      <c r="U1" s="15"/>
      <c r="V1" s="15" t="s">
        <v>56</v>
      </c>
    </row>
    <row r="2" spans="1:23">
      <c r="A2" s="9">
        <v>0</v>
      </c>
      <c r="B2" s="9">
        <f>B8</f>
        <v>285</v>
      </c>
      <c r="C2" s="9">
        <f>C8</f>
        <v>320</v>
      </c>
      <c r="D2" s="9">
        <f t="shared" ref="D2:D7" si="0">(C3-C2)/(B3-B2)</f>
        <v>-0.24324324324324326</v>
      </c>
      <c r="L2" s="3" t="s">
        <v>57</v>
      </c>
      <c r="M2" s="3" t="s">
        <v>58</v>
      </c>
      <c r="O2" s="3" t="s">
        <v>57</v>
      </c>
      <c r="P2" s="3" t="s">
        <v>58</v>
      </c>
      <c r="R2" s="15" t="s">
        <v>57</v>
      </c>
      <c r="S2" s="15" t="s">
        <v>58</v>
      </c>
      <c r="U2" s="15" t="s">
        <v>57</v>
      </c>
      <c r="V2" s="15" t="s">
        <v>58</v>
      </c>
    </row>
    <row r="3" spans="1:23">
      <c r="A3" s="9">
        <v>1</v>
      </c>
      <c r="B3" s="9">
        <v>470</v>
      </c>
      <c r="C3" s="9">
        <v>275</v>
      </c>
      <c r="D3" s="9">
        <f t="shared" si="0"/>
        <v>1.0833333333333333</v>
      </c>
      <c r="I3" s="9" t="str">
        <f>IF($B$12&lt;$F$12,"AFTER", "BEFORE" )</f>
        <v>BEFORE</v>
      </c>
      <c r="J3" s="9" t="str">
        <f>IF(-$F$12&lt;=$B$19, "AFTER", "BEFORE")</f>
        <v>BEFORE</v>
      </c>
      <c r="L3" s="3">
        <v>470</v>
      </c>
      <c r="M3" s="3">
        <f>INDEX($A$2:$D$8,MATCH(L3,$B$2:$B$8,0),3)</f>
        <v>275</v>
      </c>
      <c r="O3" s="3">
        <v>270</v>
      </c>
      <c r="P3" s="3">
        <f>INDEX($A$2:$D$8,MATCH(O3,$B$2:$B$8,0),3)</f>
        <v>495</v>
      </c>
      <c r="R3" s="15">
        <v>390</v>
      </c>
      <c r="S3" s="15">
        <f>INDEX($A$2:$D$8,MATCH(R3,$B$2:$B$8,0),3)</f>
        <v>525</v>
      </c>
      <c r="U3" s="15">
        <v>530</v>
      </c>
      <c r="V3" s="15">
        <f>INDEX($A$2:$D$8,MATCH(U3,$B$2:$B$8,0),3)</f>
        <v>340</v>
      </c>
    </row>
    <row r="4" spans="1:23">
      <c r="A4" s="9">
        <v>2</v>
      </c>
      <c r="B4" s="9">
        <v>530</v>
      </c>
      <c r="C4" s="9">
        <v>340</v>
      </c>
      <c r="D4" s="9">
        <f t="shared" si="0"/>
        <v>-4</v>
      </c>
      <c r="I4" s="9" t="str">
        <f t="shared" ref="I4:I8" si="1">IF($B$12&lt;$F$12,"AFTER", "BEFORE" )</f>
        <v>BEFORE</v>
      </c>
      <c r="J4" s="9" t="str">
        <f t="shared" ref="J4:J8" si="2">IF(-$F$12&lt;=$B$19, "AFTER", "BEFORE")</f>
        <v>BEFORE</v>
      </c>
      <c r="L4" s="3">
        <v>470</v>
      </c>
      <c r="M4" s="3">
        <f>INDEX($A$2:$D$8,MATCH(L4,$B$2:$B$8,0),3)</f>
        <v>275</v>
      </c>
      <c r="O4" s="3">
        <v>270</v>
      </c>
      <c r="P4" s="3">
        <f>INDEX($A$2:$D$8,MATCH(O4,$B$2:$B$8,0),3)</f>
        <v>495</v>
      </c>
      <c r="R4" s="15">
        <v>390</v>
      </c>
      <c r="S4" s="15">
        <f>INDEX($A$2:$D$8,MATCH(R4,$B$2:$B$8,0),3)</f>
        <v>525</v>
      </c>
      <c r="U4" s="15">
        <v>530</v>
      </c>
      <c r="V4" s="15">
        <f>INDEX($A$2:$D$8,MATCH(U4,$B$2:$B$8,0),3)</f>
        <v>340</v>
      </c>
      <c r="W4" s="9" t="s">
        <v>63</v>
      </c>
    </row>
    <row r="5" spans="1:23">
      <c r="A5" s="9">
        <v>3</v>
      </c>
      <c r="B5" s="9">
        <v>495</v>
      </c>
      <c r="C5" s="9">
        <v>480</v>
      </c>
      <c r="D5" s="9">
        <f t="shared" si="0"/>
        <v>-0.42857142857142855</v>
      </c>
      <c r="I5" s="9" t="str">
        <f t="shared" si="1"/>
        <v>BEFORE</v>
      </c>
      <c r="J5" s="9" t="str">
        <f t="shared" si="2"/>
        <v>BEFORE</v>
      </c>
      <c r="L5" s="3">
        <v>470</v>
      </c>
      <c r="M5" s="3">
        <f t="shared" ref="M5:M9" si="3">INDEX($A$2:$D$8,MATCH(L5,$B$2:$B$8,0),3)</f>
        <v>275</v>
      </c>
      <c r="O5" s="3">
        <v>270</v>
      </c>
      <c r="P5" s="3">
        <f t="shared" ref="P5:P9" si="4">INDEX($A$2:$D$8,MATCH(O5,$B$2:$B$8,0),3)</f>
        <v>495</v>
      </c>
      <c r="R5" s="15">
        <v>390</v>
      </c>
      <c r="S5" s="15">
        <f t="shared" ref="S5:S9" si="5">INDEX($A$2:$D$8,MATCH(R5,$B$2:$B$8,0),3)</f>
        <v>525</v>
      </c>
      <c r="U5" s="15">
        <v>530</v>
      </c>
      <c r="V5" s="15">
        <f t="shared" ref="V5:V9" si="6">INDEX($A$2:$D$8,MATCH(U5,$B$2:$B$8,0),3)</f>
        <v>340</v>
      </c>
      <c r="W5" s="9" t="s">
        <v>64</v>
      </c>
    </row>
    <row r="6" spans="1:23">
      <c r="A6" s="9">
        <v>4</v>
      </c>
      <c r="B6" s="9">
        <v>390</v>
      </c>
      <c r="C6" s="9">
        <v>525</v>
      </c>
      <c r="D6" s="9">
        <f t="shared" si="0"/>
        <v>0.25</v>
      </c>
      <c r="I6" s="9" t="str">
        <f t="shared" si="1"/>
        <v>BEFORE</v>
      </c>
      <c r="J6" s="9" t="str">
        <f t="shared" si="2"/>
        <v>BEFORE</v>
      </c>
      <c r="L6" s="3">
        <v>470</v>
      </c>
      <c r="M6" s="3">
        <f t="shared" si="3"/>
        <v>275</v>
      </c>
      <c r="O6" s="3">
        <v>270</v>
      </c>
      <c r="P6" s="3">
        <f t="shared" si="4"/>
        <v>495</v>
      </c>
      <c r="R6" s="15">
        <v>390</v>
      </c>
      <c r="S6" s="15">
        <f t="shared" si="5"/>
        <v>525</v>
      </c>
      <c r="U6" s="15">
        <v>530</v>
      </c>
      <c r="V6" s="15">
        <f t="shared" si="6"/>
        <v>340</v>
      </c>
      <c r="W6" s="9" t="s">
        <v>63</v>
      </c>
    </row>
    <row r="7" spans="1:23">
      <c r="A7" s="9">
        <v>5</v>
      </c>
      <c r="B7" s="9">
        <v>270</v>
      </c>
      <c r="C7" s="9">
        <v>495</v>
      </c>
      <c r="D7" s="9">
        <f t="shared" si="0"/>
        <v>-11.666666666666666</v>
      </c>
      <c r="I7" s="9" t="str">
        <f t="shared" si="1"/>
        <v>BEFORE</v>
      </c>
      <c r="J7" s="9" t="str">
        <f t="shared" si="2"/>
        <v>BEFORE</v>
      </c>
      <c r="L7" s="3">
        <v>470</v>
      </c>
      <c r="M7" s="3">
        <f t="shared" si="3"/>
        <v>275</v>
      </c>
      <c r="O7" s="3">
        <v>270</v>
      </c>
      <c r="P7" s="3">
        <f t="shared" si="4"/>
        <v>495</v>
      </c>
      <c r="R7" s="15">
        <v>390</v>
      </c>
      <c r="S7" s="15">
        <f t="shared" si="5"/>
        <v>525</v>
      </c>
      <c r="U7" s="15">
        <v>530</v>
      </c>
      <c r="V7" s="15">
        <f t="shared" si="6"/>
        <v>340</v>
      </c>
      <c r="W7" s="9" t="s">
        <v>65</v>
      </c>
    </row>
    <row r="8" spans="1:23">
      <c r="A8" s="9">
        <v>6</v>
      </c>
      <c r="B8" s="9">
        <v>285</v>
      </c>
      <c r="C8" s="9">
        <v>320</v>
      </c>
      <c r="E8" s="11"/>
      <c r="F8" s="11"/>
      <c r="G8" s="11"/>
      <c r="H8" s="11"/>
      <c r="I8" s="9" t="str">
        <f t="shared" si="1"/>
        <v>BEFORE</v>
      </c>
      <c r="J8" s="9" t="str">
        <f t="shared" si="2"/>
        <v>BEFORE</v>
      </c>
      <c r="K8" s="11"/>
      <c r="L8" s="3">
        <v>470</v>
      </c>
      <c r="M8" s="3">
        <f t="shared" si="3"/>
        <v>275</v>
      </c>
      <c r="O8" s="3">
        <v>270</v>
      </c>
      <c r="P8" s="3">
        <f t="shared" si="4"/>
        <v>495</v>
      </c>
      <c r="R8" s="15">
        <v>390</v>
      </c>
      <c r="S8" s="15">
        <f t="shared" si="5"/>
        <v>525</v>
      </c>
      <c r="U8" s="15">
        <v>530</v>
      </c>
      <c r="V8" s="15">
        <f t="shared" si="6"/>
        <v>340</v>
      </c>
    </row>
    <row r="9" spans="1:23">
      <c r="E9" s="11"/>
      <c r="F9" s="11"/>
      <c r="G9" s="11"/>
      <c r="H9" s="11"/>
      <c r="I9" s="11"/>
      <c r="J9" s="11"/>
      <c r="K9" s="11"/>
      <c r="L9" s="3">
        <v>470</v>
      </c>
      <c r="M9" s="3">
        <f t="shared" si="3"/>
        <v>275</v>
      </c>
      <c r="O9" s="3">
        <v>270</v>
      </c>
      <c r="P9" s="3">
        <f t="shared" si="4"/>
        <v>495</v>
      </c>
      <c r="R9" s="15">
        <v>390</v>
      </c>
      <c r="S9" s="15">
        <f t="shared" si="5"/>
        <v>525</v>
      </c>
      <c r="U9" s="15">
        <v>530</v>
      </c>
      <c r="V9" s="15">
        <f t="shared" si="6"/>
        <v>340</v>
      </c>
    </row>
    <row r="10" spans="1:23"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3"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23">
      <c r="A12" s="9" t="s">
        <v>16</v>
      </c>
      <c r="B12" s="9">
        <f>D2</f>
        <v>-0.24324324324324326</v>
      </c>
      <c r="E12" s="9" t="s">
        <v>16</v>
      </c>
      <c r="F12" s="9">
        <f>D4</f>
        <v>-4</v>
      </c>
      <c r="K12" s="11"/>
      <c r="L12" s="11"/>
      <c r="M12" s="11"/>
      <c r="N12" s="11"/>
    </row>
    <row r="13" spans="1:23">
      <c r="B13" s="9">
        <f>B14-50</f>
        <v>235</v>
      </c>
      <c r="C13" s="9">
        <f>B12*(B13-B14)+C14</f>
        <v>332.16216216216219</v>
      </c>
      <c r="F13" s="9">
        <f>F14-50</f>
        <v>445</v>
      </c>
      <c r="G13" s="9">
        <f>F12*(F13-F14)+G14</f>
        <v>680</v>
      </c>
      <c r="J13" s="9" t="s">
        <v>75</v>
      </c>
      <c r="K13" s="11"/>
      <c r="L13" s="11"/>
      <c r="M13" s="11"/>
      <c r="N13" s="11"/>
    </row>
    <row r="14" spans="1:23">
      <c r="A14" s="9" t="s">
        <v>48</v>
      </c>
      <c r="B14" s="9">
        <v>285</v>
      </c>
      <c r="C14" s="9">
        <f>INDEX($A$2:$D$8,MATCH(B14,$B$2:$B$8,0),3)</f>
        <v>320</v>
      </c>
      <c r="E14" s="9" t="s">
        <v>48</v>
      </c>
      <c r="F14" s="9">
        <v>495</v>
      </c>
      <c r="G14" s="9">
        <f>INDEX($A$2:$C$8,MATCH(F14,$B$2:$B$8,0),3)</f>
        <v>480</v>
      </c>
      <c r="J14" s="9" t="s">
        <v>76</v>
      </c>
      <c r="K14" s="11"/>
      <c r="L14" s="11"/>
      <c r="M14" s="11"/>
      <c r="N14" s="11"/>
    </row>
    <row r="15" spans="1:23">
      <c r="B15" s="9">
        <f>B14+50</f>
        <v>335</v>
      </c>
      <c r="C15" s="9">
        <f>B12*(B15-B14)+C14</f>
        <v>307.83783783783781</v>
      </c>
      <c r="F15" s="9">
        <f>F14+50</f>
        <v>545</v>
      </c>
      <c r="G15" s="9">
        <f>F12*(F15-F14)+G14</f>
        <v>280</v>
      </c>
      <c r="K15" s="11"/>
      <c r="L15" s="11"/>
      <c r="M15" s="11"/>
      <c r="N15" s="11"/>
    </row>
    <row r="16" spans="1:23">
      <c r="K16" s="11"/>
      <c r="L16" s="11"/>
      <c r="M16" s="11"/>
      <c r="N16" s="11"/>
    </row>
    <row r="17" spans="1:14">
      <c r="B17" s="9">
        <f>B14+100</f>
        <v>385</v>
      </c>
      <c r="C17" s="9">
        <f>-B12*(B17-B14)+C14</f>
        <v>344.32432432432432</v>
      </c>
      <c r="F17" s="9">
        <f>F14-200</f>
        <v>295</v>
      </c>
      <c r="G17" s="9">
        <f>-F12*(F17-F14)+G14</f>
        <v>-320</v>
      </c>
      <c r="K17" s="11"/>
      <c r="L17" s="11"/>
      <c r="M17" s="11"/>
      <c r="N17" s="11"/>
    </row>
    <row r="19" spans="1:14">
      <c r="A19" s="9" t="s">
        <v>50</v>
      </c>
      <c r="B19" s="9">
        <f>(G14-C14)/(F14-B14)</f>
        <v>0.76190476190476186</v>
      </c>
    </row>
    <row r="28" spans="1:14">
      <c r="A28"/>
      <c r="B28"/>
      <c r="E28" t="s">
        <v>49</v>
      </c>
    </row>
    <row r="29" spans="1:14">
      <c r="A29" t="s">
        <v>59</v>
      </c>
      <c r="C29" t="s">
        <v>62</v>
      </c>
      <c r="E29" t="s">
        <v>51</v>
      </c>
    </row>
    <row r="30" spans="1:14">
      <c r="A30" t="s">
        <v>59</v>
      </c>
      <c r="C30" t="s">
        <v>61</v>
      </c>
      <c r="E30" t="s">
        <v>53</v>
      </c>
    </row>
    <row r="31" spans="1:14">
      <c r="A31" t="s">
        <v>60</v>
      </c>
      <c r="C31" t="s">
        <v>62</v>
      </c>
      <c r="E31" t="s">
        <v>52</v>
      </c>
    </row>
    <row r="32" spans="1:14">
      <c r="A32" t="s">
        <v>60</v>
      </c>
      <c r="C32" t="s">
        <v>61</v>
      </c>
      <c r="E32" t="s">
        <v>54</v>
      </c>
    </row>
  </sheetData>
  <conditionalFormatting sqref="L4:V9">
    <cfRule type="expression" dxfId="5" priority="1">
      <formula>NOT(L4=L3)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activeCell="K21" sqref="K21"/>
    </sheetView>
  </sheetViews>
  <sheetFormatPr defaultRowHeight="15"/>
  <cols>
    <col min="1" max="4" width="9.140625" style="9"/>
    <col min="5" max="5" width="10.5703125" style="9" bestFit="1" customWidth="1"/>
    <col min="6" max="8" width="9.140625" style="9"/>
    <col min="9" max="9" width="1.7109375" style="9" customWidth="1"/>
    <col min="10" max="11" width="7.7109375" style="9" bestFit="1" customWidth="1"/>
    <col min="12" max="12" width="1.7109375" style="9" customWidth="1"/>
    <col min="13" max="14" width="4.28515625" style="9" customWidth="1"/>
    <col min="15" max="15" width="1.7109375" style="9" customWidth="1"/>
    <col min="16" max="17" width="4.28515625" style="9" customWidth="1"/>
    <col min="18" max="18" width="1.7109375" style="9" customWidth="1"/>
    <col min="19" max="20" width="4.28515625" style="9" customWidth="1"/>
    <col min="21" max="21" width="1.7109375" style="9" customWidth="1"/>
    <col min="22" max="23" width="4.28515625" style="9" customWidth="1"/>
    <col min="24" max="24" width="2" style="9" customWidth="1"/>
    <col min="25" max="26" width="4" style="9" bestFit="1" customWidth="1"/>
    <col min="27" max="16384" width="9.140625" style="9"/>
  </cols>
  <sheetData>
    <row r="1" spans="1:24">
      <c r="A1" s="9" t="s">
        <v>4</v>
      </c>
      <c r="B1" s="9" t="s">
        <v>0</v>
      </c>
      <c r="C1" s="9" t="s">
        <v>1</v>
      </c>
      <c r="D1" s="9" t="s">
        <v>16</v>
      </c>
      <c r="M1" s="3" t="s">
        <v>5</v>
      </c>
      <c r="N1" s="3" t="s">
        <v>55</v>
      </c>
      <c r="P1" s="3"/>
      <c r="Q1" s="3" t="s">
        <v>56</v>
      </c>
      <c r="S1" s="15" t="s">
        <v>7</v>
      </c>
      <c r="T1" s="15" t="s">
        <v>55</v>
      </c>
      <c r="V1" s="15"/>
      <c r="W1" s="15" t="s">
        <v>56</v>
      </c>
    </row>
    <row r="2" spans="1:24">
      <c r="A2" s="9">
        <v>0</v>
      </c>
      <c r="B2" s="9">
        <v>300</v>
      </c>
      <c r="C2" s="9">
        <v>305</v>
      </c>
      <c r="D2" s="9">
        <f t="shared" ref="D2:D7" si="0">(C3-C2)/(B3-B2)</f>
        <v>16</v>
      </c>
      <c r="F2" s="9" t="s">
        <v>68</v>
      </c>
      <c r="G2" s="9" t="s">
        <v>69</v>
      </c>
      <c r="H2" s="9" t="s">
        <v>50</v>
      </c>
      <c r="M2" s="3" t="s">
        <v>57</v>
      </c>
      <c r="N2" s="3" t="s">
        <v>58</v>
      </c>
      <c r="P2" s="3" t="s">
        <v>57</v>
      </c>
      <c r="Q2" s="3" t="s">
        <v>58</v>
      </c>
      <c r="S2" s="15" t="s">
        <v>57</v>
      </c>
      <c r="T2" s="15" t="s">
        <v>58</v>
      </c>
      <c r="V2" s="15" t="s">
        <v>57</v>
      </c>
      <c r="W2" s="15" t="s">
        <v>58</v>
      </c>
    </row>
    <row r="3" spans="1:24">
      <c r="A3" s="9">
        <v>1</v>
      </c>
      <c r="B3" s="9">
        <v>310</v>
      </c>
      <c r="C3" s="9">
        <v>465</v>
      </c>
      <c r="D3" s="9">
        <f t="shared" si="0"/>
        <v>0.23529411764705882</v>
      </c>
      <c r="F3" s="9">
        <v>16</v>
      </c>
      <c r="G3" s="9">
        <v>3.7142857142857144</v>
      </c>
      <c r="H3" s="9">
        <v>-0.78947368421052633</v>
      </c>
      <c r="J3" s="9" t="str">
        <f>IF($F$3&lt;$G$3,"AFTER", "BEFORE" )</f>
        <v>BEFORE</v>
      </c>
      <c r="K3" s="9" t="str">
        <f>IF(-$G$3&lt;=$H$3, "AFTER", "BEFORE")</f>
        <v>AFTER</v>
      </c>
      <c r="M3" s="3">
        <v>480</v>
      </c>
      <c r="N3" s="3">
        <f>INDEX($A$2:$D$8,MATCH(M3,$B$2:$B$8,0),3)</f>
        <v>505</v>
      </c>
      <c r="P3" s="3">
        <v>300</v>
      </c>
      <c r="Q3" s="3">
        <f>INDEX($A$2:$D$8,MATCH(P3,$B$2:$B$8,0),3)</f>
        <v>305</v>
      </c>
      <c r="S3" s="15">
        <v>410</v>
      </c>
      <c r="T3" s="15">
        <f>INDEX($A$2:$D$8,MATCH(S3,$B$2:$B$8,0),3)</f>
        <v>280</v>
      </c>
      <c r="V3" s="15">
        <v>535</v>
      </c>
      <c r="W3" s="15">
        <f>INDEX($A$2:$D$8,MATCH(V3,$B$2:$B$8,0),3)</f>
        <v>445</v>
      </c>
    </row>
    <row r="4" spans="1:24">
      <c r="A4" s="9">
        <v>2</v>
      </c>
      <c r="B4" s="9">
        <v>480</v>
      </c>
      <c r="C4" s="9">
        <v>505</v>
      </c>
      <c r="D4" s="9">
        <f t="shared" si="0"/>
        <v>-1.0909090909090908</v>
      </c>
      <c r="F4" s="9">
        <v>0.23529411764705882</v>
      </c>
      <c r="G4" s="9">
        <v>3.7142857142857144</v>
      </c>
      <c r="H4" s="9">
        <v>-0.78947368421052633</v>
      </c>
      <c r="J4" s="9" t="str">
        <f>IF($F$4&lt;$G$4,"AFTER", "BEFORE" )</f>
        <v>AFTER</v>
      </c>
      <c r="K4" s="9" t="str">
        <f>IF(-$G$4&lt;=$H$4, "AFTER", "BEFORE")</f>
        <v>AFTER</v>
      </c>
      <c r="M4" s="3">
        <v>480</v>
      </c>
      <c r="N4" s="3">
        <f>INDEX($A$2:$D$8,MATCH(M4,$B$2:$B$8,0),3)</f>
        <v>505</v>
      </c>
      <c r="P4" s="3">
        <v>310</v>
      </c>
      <c r="Q4" s="3">
        <f>INDEX($A$2:$D$8,MATCH(P4,$B$2:$B$8,0),3)</f>
        <v>465</v>
      </c>
      <c r="S4" s="15">
        <v>410</v>
      </c>
      <c r="T4" s="15">
        <f>INDEX($A$2:$D$8,MATCH(S4,$B$2:$B$8,0),3)</f>
        <v>280</v>
      </c>
      <c r="V4" s="15">
        <v>535</v>
      </c>
      <c r="W4" s="15">
        <f>INDEX($A$2:$D$8,MATCH(V4,$B$2:$B$8,0),3)</f>
        <v>445</v>
      </c>
      <c r="X4" s="9" t="s">
        <v>64</v>
      </c>
    </row>
    <row r="5" spans="1:24">
      <c r="A5" s="9">
        <v>3</v>
      </c>
      <c r="B5" s="9">
        <v>535</v>
      </c>
      <c r="C5" s="9">
        <v>445</v>
      </c>
      <c r="D5" s="9">
        <f t="shared" si="0"/>
        <v>3.7142857142857144</v>
      </c>
      <c r="F5" s="9">
        <v>0.23529411764705882</v>
      </c>
      <c r="G5" s="9">
        <v>0.3888888888888889</v>
      </c>
      <c r="H5" s="9">
        <v>-0.78947368421052633</v>
      </c>
      <c r="J5" s="9" t="str">
        <f>IF($F$5&lt;$G$5,"AFTER", "BEFORE" )</f>
        <v>AFTER</v>
      </c>
      <c r="K5" s="9" t="str">
        <f>IF(-$G$5&lt;=$H$5, "AFTER", "BEFORE")</f>
        <v>BEFORE</v>
      </c>
      <c r="M5" s="3">
        <v>480</v>
      </c>
      <c r="N5" s="3">
        <f t="shared" ref="N5:N9" si="1">INDEX($A$2:$D$8,MATCH(M5,$B$2:$B$8,0),3)</f>
        <v>505</v>
      </c>
      <c r="P5" s="3">
        <v>310</v>
      </c>
      <c r="Q5" s="3">
        <f t="shared" ref="Q5:Q9" si="2">INDEX($A$2:$D$8,MATCH(P5,$B$2:$B$8,0),3)</f>
        <v>465</v>
      </c>
      <c r="S5" s="15">
        <v>410</v>
      </c>
      <c r="T5" s="15">
        <f t="shared" ref="T5:T9" si="3">INDEX($A$2:$D$8,MATCH(S5,$B$2:$B$8,0),3)</f>
        <v>280</v>
      </c>
      <c r="V5" s="15">
        <v>500</v>
      </c>
      <c r="W5" s="15">
        <f t="shared" ref="W5:W9" si="4">INDEX($A$2:$D$8,MATCH(V5,$B$2:$B$8,0),3)</f>
        <v>315</v>
      </c>
      <c r="X5" s="9" t="s">
        <v>63</v>
      </c>
    </row>
    <row r="6" spans="1:24">
      <c r="A6" s="9">
        <v>4</v>
      </c>
      <c r="B6" s="9">
        <v>500</v>
      </c>
      <c r="C6" s="9">
        <v>315</v>
      </c>
      <c r="D6" s="9">
        <f t="shared" si="0"/>
        <v>0.3888888888888889</v>
      </c>
      <c r="J6" s="9" t="str">
        <f t="shared" ref="J6:J8" si="5">IF($B$12&lt;$F$12,"AFTER", "BEFORE" )</f>
        <v>AFTER</v>
      </c>
      <c r="K6" s="9" t="str">
        <f t="shared" ref="K6:K8" si="6">IF(-$F$12&lt;=$B$19, "AFTER", "BEFORE")</f>
        <v>BEFORE</v>
      </c>
      <c r="M6" s="3">
        <v>310</v>
      </c>
      <c r="N6" s="3">
        <f t="shared" si="1"/>
        <v>465</v>
      </c>
      <c r="P6" s="3">
        <v>310</v>
      </c>
      <c r="Q6" s="3">
        <f t="shared" si="2"/>
        <v>465</v>
      </c>
      <c r="S6" s="15">
        <v>410</v>
      </c>
      <c r="T6" s="15">
        <f t="shared" si="3"/>
        <v>280</v>
      </c>
      <c r="V6" s="15">
        <v>500</v>
      </c>
      <c r="W6" s="15">
        <f t="shared" si="4"/>
        <v>315</v>
      </c>
      <c r="X6" s="9" t="s">
        <v>64</v>
      </c>
    </row>
    <row r="7" spans="1:24">
      <c r="A7" s="9">
        <v>5</v>
      </c>
      <c r="B7" s="9">
        <v>410</v>
      </c>
      <c r="C7" s="9">
        <v>280</v>
      </c>
      <c r="D7" s="9">
        <f t="shared" si="0"/>
        <v>-0.22727272727272727</v>
      </c>
      <c r="J7" s="9" t="str">
        <f t="shared" si="5"/>
        <v>AFTER</v>
      </c>
      <c r="K7" s="9" t="str">
        <f t="shared" si="6"/>
        <v>BEFORE</v>
      </c>
      <c r="M7" s="3">
        <v>310</v>
      </c>
      <c r="N7" s="3">
        <f t="shared" si="1"/>
        <v>465</v>
      </c>
      <c r="P7" s="3">
        <v>310</v>
      </c>
      <c r="Q7" s="3">
        <f t="shared" si="2"/>
        <v>465</v>
      </c>
      <c r="S7" s="15">
        <v>410</v>
      </c>
      <c r="T7" s="15">
        <f t="shared" si="3"/>
        <v>280</v>
      </c>
      <c r="V7" s="15">
        <v>500</v>
      </c>
      <c r="W7" s="15">
        <f t="shared" si="4"/>
        <v>315</v>
      </c>
      <c r="X7" s="9" t="s">
        <v>65</v>
      </c>
    </row>
    <row r="8" spans="1:24">
      <c r="A8" s="9">
        <v>6</v>
      </c>
      <c r="B8" s="9">
        <f>B2</f>
        <v>300</v>
      </c>
      <c r="C8" s="9">
        <f>C2</f>
        <v>305</v>
      </c>
      <c r="J8" s="9" t="str">
        <f t="shared" si="5"/>
        <v>AFTER</v>
      </c>
      <c r="K8" s="9" t="str">
        <f t="shared" si="6"/>
        <v>BEFORE</v>
      </c>
      <c r="L8" s="11"/>
      <c r="M8" s="3">
        <v>310</v>
      </c>
      <c r="N8" s="3">
        <f t="shared" si="1"/>
        <v>465</v>
      </c>
      <c r="P8" s="3">
        <v>310</v>
      </c>
      <c r="Q8" s="3">
        <f t="shared" si="2"/>
        <v>465</v>
      </c>
      <c r="S8" s="15">
        <v>410</v>
      </c>
      <c r="T8" s="15">
        <f t="shared" si="3"/>
        <v>280</v>
      </c>
      <c r="V8" s="15">
        <v>500</v>
      </c>
      <c r="W8" s="15">
        <f t="shared" si="4"/>
        <v>315</v>
      </c>
    </row>
    <row r="9" spans="1:24">
      <c r="J9" s="11"/>
      <c r="K9" s="11"/>
      <c r="L9" s="11"/>
      <c r="M9" s="3">
        <v>310</v>
      </c>
      <c r="N9" s="3">
        <f t="shared" si="1"/>
        <v>465</v>
      </c>
      <c r="P9" s="3">
        <v>310</v>
      </c>
      <c r="Q9" s="3">
        <f t="shared" si="2"/>
        <v>465</v>
      </c>
      <c r="S9" s="15">
        <v>410</v>
      </c>
      <c r="T9" s="15">
        <f t="shared" si="3"/>
        <v>280</v>
      </c>
      <c r="V9" s="15">
        <v>500</v>
      </c>
      <c r="W9" s="15">
        <f t="shared" si="4"/>
        <v>315</v>
      </c>
    </row>
    <row r="10" spans="1:24">
      <c r="J10" s="11"/>
      <c r="K10" s="11"/>
      <c r="L10" s="11"/>
      <c r="M10" s="11"/>
      <c r="N10" s="11"/>
      <c r="O10" s="11"/>
    </row>
    <row r="12" spans="1:24">
      <c r="A12" s="9" t="s">
        <v>16</v>
      </c>
      <c r="B12" s="9">
        <f>D3</f>
        <v>0.23529411764705882</v>
      </c>
      <c r="E12" s="9" t="s">
        <v>16</v>
      </c>
      <c r="F12" s="9">
        <f>D6</f>
        <v>0.3888888888888889</v>
      </c>
    </row>
    <row r="13" spans="1:24">
      <c r="B13" s="9">
        <f>B14-50</f>
        <v>260</v>
      </c>
      <c r="C13" s="9">
        <f>B12*(B13-B14)+C14</f>
        <v>453.23529411764707</v>
      </c>
      <c r="F13" s="9">
        <f>F14-50</f>
        <v>450</v>
      </c>
      <c r="G13" s="9">
        <f>F12*(F13-F14)+G14</f>
        <v>295.55555555555554</v>
      </c>
    </row>
    <row r="14" spans="1:24">
      <c r="A14" s="9" t="s">
        <v>48</v>
      </c>
      <c r="B14" s="9">
        <v>310</v>
      </c>
      <c r="C14" s="9">
        <f>INDEX($A$2:$D$8,MATCH(B14,$B$2:$B$8,0),3)</f>
        <v>465</v>
      </c>
      <c r="E14" s="9" t="s">
        <v>48</v>
      </c>
      <c r="F14" s="9">
        <v>500</v>
      </c>
      <c r="G14" s="9">
        <f>INDEX($A$2:$C$8,MATCH(F14,$B$2:$B$8,0),3)</f>
        <v>315</v>
      </c>
      <c r="J14" s="9" t="str">
        <f>IF(-B19&lt;D6,"Eliminate BEFORE a", "Eliminate AFTER a")</f>
        <v>Eliminate AFTER a</v>
      </c>
    </row>
    <row r="15" spans="1:24">
      <c r="B15" s="9">
        <f>B14+50</f>
        <v>360</v>
      </c>
      <c r="C15" s="9">
        <f>B12*(B15-B14)+C14</f>
        <v>476.76470588235293</v>
      </c>
      <c r="F15" s="9">
        <f>F14+50</f>
        <v>550</v>
      </c>
      <c r="G15" s="9">
        <f>F12*(F15-F14)+G14</f>
        <v>334.44444444444446</v>
      </c>
    </row>
    <row r="17" spans="1:11">
      <c r="B17" s="9">
        <f>B14+100</f>
        <v>410</v>
      </c>
      <c r="C17" s="9">
        <f>-B12*(B17-B14)+C14</f>
        <v>441.47058823529414</v>
      </c>
      <c r="F17" s="9">
        <f>F14-200</f>
        <v>300</v>
      </c>
      <c r="G17" s="9">
        <f>-F12*(F17-F14)+G14</f>
        <v>392.77777777777777</v>
      </c>
    </row>
    <row r="19" spans="1:11">
      <c r="A19" s="9" t="s">
        <v>50</v>
      </c>
      <c r="B19" s="9">
        <f>(G14-C14)/(F14-B14)</f>
        <v>-0.78947368421052633</v>
      </c>
    </row>
    <row r="20" spans="1:11">
      <c r="J20" s="9" t="s">
        <v>12</v>
      </c>
      <c r="K20" s="9">
        <f>ABS((B3-B6)*(C3-C6))</f>
        <v>28500</v>
      </c>
    </row>
    <row r="28" spans="1:11">
      <c r="A28"/>
      <c r="B28"/>
      <c r="E28" t="s">
        <v>49</v>
      </c>
    </row>
    <row r="29" spans="1:11">
      <c r="A29" t="s">
        <v>59</v>
      </c>
      <c r="C29" t="s">
        <v>62</v>
      </c>
      <c r="E29" t="s">
        <v>51</v>
      </c>
    </row>
    <row r="30" spans="1:11">
      <c r="A30" t="s">
        <v>59</v>
      </c>
      <c r="C30" t="s">
        <v>61</v>
      </c>
      <c r="E30" t="s">
        <v>53</v>
      </c>
    </row>
    <row r="31" spans="1:11">
      <c r="A31" t="s">
        <v>60</v>
      </c>
      <c r="C31" t="s">
        <v>62</v>
      </c>
      <c r="E31" t="s">
        <v>52</v>
      </c>
    </row>
    <row r="32" spans="1:11">
      <c r="A32" t="s">
        <v>60</v>
      </c>
      <c r="C32" t="s">
        <v>61</v>
      </c>
      <c r="E32" t="s">
        <v>54</v>
      </c>
    </row>
    <row r="42" spans="1:7">
      <c r="A42" s="9">
        <v>0</v>
      </c>
      <c r="B42" s="27">
        <v>0</v>
      </c>
    </row>
    <row r="43" spans="1:7">
      <c r="A43" s="9">
        <v>2</v>
      </c>
      <c r="B43" s="27">
        <v>1</v>
      </c>
    </row>
    <row r="44" spans="1:7">
      <c r="A44" s="9" t="s">
        <v>86</v>
      </c>
      <c r="B44" s="27">
        <v>10</v>
      </c>
    </row>
    <row r="47" spans="1:7">
      <c r="A47" s="9" t="s">
        <v>87</v>
      </c>
      <c r="B47" s="9" t="s">
        <v>88</v>
      </c>
    </row>
    <row r="48" spans="1:7">
      <c r="A48" s="9">
        <v>0</v>
      </c>
      <c r="B48" s="9">
        <v>0</v>
      </c>
      <c r="C48" s="26">
        <v>0</v>
      </c>
      <c r="D48" s="9">
        <f>BIN2DEC(C48)</f>
        <v>0</v>
      </c>
      <c r="F48" s="9">
        <v>0</v>
      </c>
      <c r="G48" s="9">
        <v>0</v>
      </c>
    </row>
    <row r="49" spans="1:7">
      <c r="A49" s="9">
        <v>0</v>
      </c>
      <c r="B49" s="9">
        <v>2</v>
      </c>
      <c r="C49" s="26">
        <v>1</v>
      </c>
      <c r="D49" s="9">
        <f t="shared" ref="D49:D56" si="7">BIN2DEC(C49)</f>
        <v>1</v>
      </c>
      <c r="F49" s="9">
        <v>0</v>
      </c>
      <c r="G49" s="9">
        <v>2</v>
      </c>
    </row>
    <row r="50" spans="1:7">
      <c r="A50" s="9">
        <v>0</v>
      </c>
      <c r="B50" s="9" t="s">
        <v>86</v>
      </c>
      <c r="C50" s="26">
        <v>10</v>
      </c>
      <c r="D50" s="9">
        <f t="shared" si="7"/>
        <v>2</v>
      </c>
      <c r="F50" s="9">
        <v>0</v>
      </c>
      <c r="G50" s="9" t="s">
        <v>86</v>
      </c>
    </row>
    <row r="51" spans="1:7">
      <c r="A51" s="9">
        <v>2</v>
      </c>
      <c r="B51" s="9">
        <v>0</v>
      </c>
      <c r="C51" s="26">
        <v>100</v>
      </c>
      <c r="D51" s="9">
        <f t="shared" si="7"/>
        <v>4</v>
      </c>
      <c r="F51" s="9">
        <v>2</v>
      </c>
      <c r="G51" s="9">
        <v>2</v>
      </c>
    </row>
    <row r="52" spans="1:7">
      <c r="A52" s="9">
        <v>2</v>
      </c>
      <c r="B52" s="9">
        <v>2</v>
      </c>
      <c r="C52" s="26">
        <v>101</v>
      </c>
      <c r="D52" s="9">
        <f t="shared" si="7"/>
        <v>5</v>
      </c>
      <c r="F52" s="9">
        <v>2</v>
      </c>
      <c r="G52" s="9" t="s">
        <v>86</v>
      </c>
    </row>
    <row r="53" spans="1:7">
      <c r="A53" s="9">
        <v>2</v>
      </c>
      <c r="B53" s="9" t="s">
        <v>86</v>
      </c>
      <c r="C53" s="26">
        <v>110</v>
      </c>
      <c r="D53" s="9">
        <f t="shared" si="7"/>
        <v>6</v>
      </c>
      <c r="F53" s="9" t="s">
        <v>86</v>
      </c>
      <c r="G53" s="9" t="s">
        <v>86</v>
      </c>
    </row>
    <row r="54" spans="1:7">
      <c r="A54" s="9" t="s">
        <v>86</v>
      </c>
      <c r="B54" s="9">
        <v>0</v>
      </c>
      <c r="C54" s="26">
        <v>1000</v>
      </c>
      <c r="D54" s="9">
        <f t="shared" si="7"/>
        <v>8</v>
      </c>
    </row>
    <row r="55" spans="1:7">
      <c r="A55" s="9" t="s">
        <v>86</v>
      </c>
      <c r="B55" s="9">
        <v>2</v>
      </c>
      <c r="C55" s="26">
        <v>1001</v>
      </c>
      <c r="D55" s="9">
        <f t="shared" si="7"/>
        <v>9</v>
      </c>
    </row>
    <row r="56" spans="1:7">
      <c r="A56" s="9" t="s">
        <v>86</v>
      </c>
      <c r="B56" s="9" t="s">
        <v>86</v>
      </c>
      <c r="C56" s="26">
        <v>1010</v>
      </c>
      <c r="D56" s="9">
        <f t="shared" si="7"/>
        <v>10</v>
      </c>
    </row>
  </sheetData>
  <sortState ref="A2:D8">
    <sortCondition descending="1" ref="A2"/>
  </sortState>
  <conditionalFormatting sqref="M4:W9">
    <cfRule type="expression" dxfId="4" priority="2">
      <formula>NOT(M4=M3)</formula>
    </cfRule>
  </conditionalFormatting>
  <conditionalFormatting sqref="C48:C56">
    <cfRule type="duplicateValues" dxfId="3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G8" sqref="G8"/>
    </sheetView>
  </sheetViews>
  <sheetFormatPr defaultRowHeight="15"/>
  <cols>
    <col min="2" max="2" width="5.42578125" customWidth="1"/>
    <col min="3" max="3" width="6.5703125" customWidth="1"/>
  </cols>
  <sheetData>
    <row r="1" spans="1:19" ht="15.75" thickBot="1">
      <c r="A1" s="2" t="s">
        <v>4</v>
      </c>
      <c r="B1" t="s">
        <v>0</v>
      </c>
      <c r="C1" t="s">
        <v>1</v>
      </c>
      <c r="E1" s="2"/>
      <c r="F1" s="9"/>
      <c r="G1" s="2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>
      <c r="A2">
        <v>0</v>
      </c>
      <c r="B2">
        <v>365</v>
      </c>
      <c r="C2">
        <v>395</v>
      </c>
      <c r="D2">
        <f t="shared" ref="D2:D6" si="0">(C3-C2)/(B3-B2)</f>
        <v>0.27777777777777779</v>
      </c>
      <c r="E2" s="9"/>
      <c r="F2" s="9"/>
      <c r="G2" s="9">
        <f>B2</f>
        <v>365</v>
      </c>
      <c r="H2" s="9">
        <f>C2</f>
        <v>395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>
      <c r="A3">
        <v>1</v>
      </c>
      <c r="B3">
        <v>455</v>
      </c>
      <c r="C3">
        <v>420</v>
      </c>
      <c r="D3">
        <f>(C4-C3)/(B4-B3)</f>
        <v>-2.6</v>
      </c>
      <c r="E3" s="9"/>
      <c r="F3" s="9"/>
      <c r="G3" s="9">
        <f>G2</f>
        <v>365</v>
      </c>
      <c r="H3" s="28">
        <f>H4</f>
        <v>309.28571428571428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>
      <c r="A4">
        <v>2</v>
      </c>
      <c r="B4">
        <v>480</v>
      </c>
      <c r="C4">
        <v>355</v>
      </c>
      <c r="D4">
        <f t="shared" si="0"/>
        <v>1.1428571428571428</v>
      </c>
      <c r="E4" s="9"/>
      <c r="F4" s="9"/>
      <c r="G4" s="28">
        <f>0.5*(G2+$B$4+(H2-$C$4)/$D$4)</f>
        <v>440</v>
      </c>
      <c r="H4" s="28">
        <f>-$D$4*(G4-G2)+H2</f>
        <v>309.28571428571428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>
      <c r="A5">
        <v>3</v>
      </c>
      <c r="B5">
        <v>410</v>
      </c>
      <c r="C5">
        <v>275</v>
      </c>
      <c r="D5">
        <f t="shared" si="0"/>
        <v>-0.53333333333333333</v>
      </c>
      <c r="E5" s="9"/>
      <c r="F5" s="9"/>
      <c r="G5" s="28">
        <f>G4</f>
        <v>440</v>
      </c>
      <c r="H5" s="9">
        <f>H2</f>
        <v>395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>
      <c r="A6">
        <v>4</v>
      </c>
      <c r="B6">
        <v>335</v>
      </c>
      <c r="C6">
        <v>315</v>
      </c>
      <c r="D6">
        <f t="shared" si="0"/>
        <v>2.6666666666666665</v>
      </c>
      <c r="E6" s="9"/>
      <c r="F6" s="9"/>
      <c r="G6" s="9">
        <f>G2</f>
        <v>365</v>
      </c>
      <c r="H6" s="9">
        <f>H2</f>
        <v>395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>
      <c r="A7">
        <v>5</v>
      </c>
      <c r="B7">
        <f>B2</f>
        <v>365</v>
      </c>
      <c r="C7">
        <f>C2</f>
        <v>395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>
      <c r="E8" s="9"/>
      <c r="F8" s="9" t="s">
        <v>12</v>
      </c>
      <c r="G8" s="9">
        <f>ABS((G4-G2)*(H4-H2))</f>
        <v>6428.5714285714294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t="s">
        <v>3</v>
      </c>
      <c r="B9">
        <f>MIN(B2:B7)</f>
        <v>335</v>
      </c>
      <c r="C9">
        <f>MIN(C2:C7)</f>
        <v>275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t="s">
        <v>2</v>
      </c>
      <c r="B10">
        <f>MAX(B2:B7)</f>
        <v>480</v>
      </c>
      <c r="C10">
        <f>MAX(C2:C7)</f>
        <v>420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B12" s="3" t="s">
        <v>0</v>
      </c>
      <c r="C12" s="3" t="s">
        <v>1</v>
      </c>
      <c r="D12" s="3" t="s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t="s">
        <v>10</v>
      </c>
      <c r="B13" s="3">
        <v>365</v>
      </c>
      <c r="C13" s="3">
        <v>395</v>
      </c>
      <c r="D13" s="3">
        <v>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B14" s="3">
        <f>B13</f>
        <v>365</v>
      </c>
      <c r="C14" s="3">
        <f>C15</f>
        <v>309.28571428571428</v>
      </c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t="s">
        <v>11</v>
      </c>
      <c r="B15" s="3">
        <v>440</v>
      </c>
      <c r="C15" s="3">
        <f>D4*(B15-B4)+C4</f>
        <v>309.28571428571428</v>
      </c>
      <c r="D15" s="3">
        <f>-(C15-C13)/(B15-B13)</f>
        <v>1.142857142857143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B16" s="3">
        <f>B15</f>
        <v>440</v>
      </c>
      <c r="C16" s="3">
        <f>C13</f>
        <v>395</v>
      </c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B17" s="3">
        <f>B13</f>
        <v>365</v>
      </c>
      <c r="C17" s="3">
        <f>C13</f>
        <v>395</v>
      </c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 t="s">
        <v>25</v>
      </c>
      <c r="B19" s="9">
        <f>B20-50</f>
        <v>315</v>
      </c>
      <c r="C19" s="9">
        <f>$D$19*(B19-$B$13)+$C$13</f>
        <v>337.85714285714289</v>
      </c>
      <c r="D19" s="9">
        <f>D22</f>
        <v>1.1428571428571428</v>
      </c>
      <c r="E19" s="9"/>
      <c r="F19" s="9"/>
      <c r="G19" s="9"/>
      <c r="H19" s="9"/>
      <c r="I19" s="9"/>
      <c r="J19" s="1"/>
      <c r="K19" s="1"/>
      <c r="L19" s="1"/>
      <c r="M19" s="1"/>
      <c r="N19" s="1"/>
      <c r="O19" s="1"/>
    </row>
    <row r="20" spans="1:19">
      <c r="A20" s="9"/>
      <c r="B20" s="9">
        <f>B13</f>
        <v>365</v>
      </c>
      <c r="C20" s="9">
        <f t="shared" ref="C20:C21" si="1">$D$19*(B20-$B$13)+$C$13</f>
        <v>395</v>
      </c>
      <c r="D20" s="9"/>
      <c r="E20" s="9"/>
      <c r="F20" s="9"/>
      <c r="G20" s="9"/>
      <c r="H20" s="9"/>
      <c r="I20" s="9"/>
      <c r="J20" s="1"/>
      <c r="K20" s="1"/>
      <c r="L20" s="1"/>
      <c r="M20" s="1"/>
      <c r="N20" s="1"/>
      <c r="O20" s="1"/>
    </row>
    <row r="21" spans="1:19">
      <c r="A21" s="9"/>
      <c r="B21" s="9">
        <f>B20+50</f>
        <v>415</v>
      </c>
      <c r="C21" s="9">
        <f t="shared" si="1"/>
        <v>452.14285714285711</v>
      </c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</row>
    <row r="22" spans="1:19">
      <c r="A22" s="9" t="s">
        <v>26</v>
      </c>
      <c r="B22" s="9">
        <f>B23-50</f>
        <v>390</v>
      </c>
      <c r="C22" s="9">
        <f>$D$22*(B22-$B$15)+$C$15</f>
        <v>252.14285714285714</v>
      </c>
      <c r="D22" s="9">
        <f>(C5-C4)/(B5-B4)</f>
        <v>1.1428571428571428</v>
      </c>
      <c r="E22" s="9"/>
      <c r="F22" s="9"/>
      <c r="G22" s="9"/>
      <c r="H22" s="9"/>
      <c r="I22" s="9"/>
      <c r="J22" s="1"/>
      <c r="K22" s="1"/>
      <c r="L22" s="1"/>
      <c r="M22" s="1"/>
      <c r="N22" s="1"/>
      <c r="O22" s="1"/>
    </row>
    <row r="23" spans="1:19">
      <c r="A23" s="9"/>
      <c r="B23" s="9">
        <f>B15</f>
        <v>440</v>
      </c>
      <c r="C23" s="9">
        <f t="shared" ref="C23:C24" si="2">$D$22*(B23-$B$15)+$C$15</f>
        <v>309.28571428571428</v>
      </c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</row>
    <row r="24" spans="1:19">
      <c r="A24" s="9"/>
      <c r="B24" s="9">
        <f>B23+50</f>
        <v>490</v>
      </c>
      <c r="C24" s="9">
        <f t="shared" si="2"/>
        <v>366.42857142857144</v>
      </c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</row>
    <row r="25" spans="1:19">
      <c r="E25">
        <v>365</v>
      </c>
      <c r="F25">
        <v>395</v>
      </c>
      <c r="G25" s="9"/>
      <c r="H25" s="9"/>
      <c r="I25" s="9"/>
      <c r="J25" s="1"/>
      <c r="K25" s="1"/>
      <c r="L25" s="1"/>
      <c r="M25" s="1"/>
      <c r="N25" s="1"/>
      <c r="O25" s="1"/>
    </row>
    <row r="26" spans="1:19">
      <c r="A26" t="s">
        <v>12</v>
      </c>
      <c r="B26">
        <f>ABS((B15-B14)*(C15-C16))</f>
        <v>6428.5714285714294</v>
      </c>
      <c r="E26">
        <v>440</v>
      </c>
      <c r="F26">
        <v>309.28571428571428</v>
      </c>
      <c r="G26" s="9"/>
      <c r="H26" s="9"/>
      <c r="I26" s="9"/>
      <c r="J26" s="1"/>
      <c r="K26" s="1"/>
      <c r="L26" s="1"/>
      <c r="M26" s="1"/>
      <c r="N26" s="1"/>
      <c r="O26" s="1"/>
    </row>
    <row r="27" spans="1:19"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</row>
    <row r="28" spans="1:19">
      <c r="A28" t="s">
        <v>27</v>
      </c>
      <c r="B28">
        <f>B13</f>
        <v>365</v>
      </c>
      <c r="C28">
        <f>C13</f>
        <v>395</v>
      </c>
      <c r="E28" s="9"/>
      <c r="F28" s="9"/>
      <c r="G28" s="9"/>
      <c r="H28" s="9"/>
      <c r="I28" s="9"/>
      <c r="J28" s="1"/>
      <c r="K28" s="1"/>
      <c r="L28" s="1"/>
      <c r="M28" s="1"/>
      <c r="N28" s="1"/>
      <c r="O28" s="1"/>
    </row>
    <row r="29" spans="1:19">
      <c r="A29" s="4"/>
      <c r="B29">
        <f>B28+100</f>
        <v>465</v>
      </c>
      <c r="C29">
        <f>-D19*(B29-B28)+C28</f>
        <v>280.71428571428572</v>
      </c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</row>
    <row r="30" spans="1:19">
      <c r="A30" t="s">
        <v>28</v>
      </c>
      <c r="B30">
        <f>B15</f>
        <v>440</v>
      </c>
      <c r="C30">
        <f>C15</f>
        <v>309.28571428571428</v>
      </c>
      <c r="E30" s="9"/>
      <c r="F30" s="9"/>
      <c r="G30" s="9"/>
      <c r="H30" s="9"/>
      <c r="I30" s="9"/>
      <c r="J30" s="1"/>
      <c r="K30" s="1"/>
      <c r="L30" s="1"/>
      <c r="M30" s="1"/>
      <c r="N30" s="1"/>
      <c r="O30" s="1"/>
    </row>
    <row r="31" spans="1:19">
      <c r="B31">
        <f>B30-100</f>
        <v>340</v>
      </c>
      <c r="C31">
        <f>-D22*(B31-B30)+C30</f>
        <v>423.57142857142856</v>
      </c>
      <c r="E31" s="9"/>
      <c r="F31" s="9"/>
      <c r="G31" s="9"/>
      <c r="H31" s="9"/>
      <c r="I31" s="9"/>
      <c r="J31" s="1"/>
      <c r="K31" s="1"/>
      <c r="L31" s="1"/>
      <c r="M31" s="1"/>
      <c r="N31" s="1"/>
      <c r="O31" s="1"/>
    </row>
    <row r="34" spans="1:1">
      <c r="A34" s="4"/>
    </row>
  </sheetData>
  <pageMargins left="0.7" right="0.7" top="0.75" bottom="0.75" header="0.3" footer="0.3"/>
  <pageSetup orientation="portrait" r:id="rId1"/>
  <ignoredErrors>
    <ignoredError sqref="B29:C29 B30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B6" sqref="B6"/>
    </sheetView>
  </sheetViews>
  <sheetFormatPr defaultRowHeight="15"/>
  <cols>
    <col min="6" max="8" width="4.7109375" bestFit="1" customWidth="1"/>
    <col min="9" max="9" width="2" customWidth="1"/>
    <col min="10" max="12" width="4.7109375" bestFit="1" customWidth="1"/>
    <col min="13" max="13" width="1.5703125" customWidth="1"/>
  </cols>
  <sheetData>
    <row r="1" spans="1:19">
      <c r="B1" t="s">
        <v>0</v>
      </c>
      <c r="C1" t="s">
        <v>1</v>
      </c>
      <c r="D1" t="s">
        <v>9</v>
      </c>
      <c r="N1" t="s">
        <v>95</v>
      </c>
      <c r="O1" t="s">
        <v>96</v>
      </c>
      <c r="R1" t="s">
        <v>97</v>
      </c>
    </row>
    <row r="2" spans="1:19">
      <c r="A2">
        <v>0</v>
      </c>
      <c r="B2">
        <v>200</v>
      </c>
      <c r="C2">
        <v>200</v>
      </c>
      <c r="D2">
        <f>(C3-C2)/(B3-B2)</f>
        <v>-1</v>
      </c>
      <c r="F2" t="s">
        <v>98</v>
      </c>
      <c r="G2">
        <f t="shared" ref="G2:H7" si="0">(B3-B2)</f>
        <v>-50</v>
      </c>
      <c r="H2">
        <f t="shared" si="0"/>
        <v>50</v>
      </c>
      <c r="J2" t="s">
        <v>104</v>
      </c>
      <c r="K2">
        <f>B7-B8</f>
        <v>300</v>
      </c>
      <c r="L2">
        <f>C7-C8</f>
        <v>100</v>
      </c>
      <c r="N2">
        <f>K2*G2+L2*H2</f>
        <v>-10000</v>
      </c>
      <c r="O2">
        <f>SQRT(POWER(G2,2) +POWER(H2,2))</f>
        <v>70.710678118654755</v>
      </c>
      <c r="P2">
        <f>SQRT(POWER(K2,2) +POWER(L2,2))</f>
        <v>316.22776601683796</v>
      </c>
      <c r="R2">
        <f>N2/(O2*P2)</f>
        <v>-0.44721359549995787</v>
      </c>
      <c r="S2">
        <f>ACOS(R2)*180/PI()</f>
        <v>116.56505117707799</v>
      </c>
    </row>
    <row r="3" spans="1:19">
      <c r="A3">
        <v>1</v>
      </c>
      <c r="B3">
        <v>150</v>
      </c>
      <c r="C3">
        <v>250</v>
      </c>
      <c r="D3">
        <f t="shared" ref="D3:D7" si="1">(C4-C3)/(B4-B3)</f>
        <v>1</v>
      </c>
      <c r="F3" t="s">
        <v>99</v>
      </c>
      <c r="G3">
        <f t="shared" si="0"/>
        <v>150</v>
      </c>
      <c r="H3">
        <f t="shared" si="0"/>
        <v>150</v>
      </c>
      <c r="J3" t="s">
        <v>105</v>
      </c>
      <c r="K3">
        <f t="shared" ref="K3:L7" si="2">B2-B3</f>
        <v>50</v>
      </c>
      <c r="L3">
        <f t="shared" si="2"/>
        <v>-50</v>
      </c>
      <c r="N3">
        <f t="shared" ref="N3:N7" si="3">K3*G3+L3*H3</f>
        <v>0</v>
      </c>
      <c r="O3">
        <f t="shared" ref="O3:O7" si="4">SQRT(POWER(G3,2) +POWER(H3,2))</f>
        <v>212.13203435596427</v>
      </c>
      <c r="P3">
        <f t="shared" ref="P3:P7" si="5">SQRT(POWER(K3,2) +POWER(L3,2))</f>
        <v>70.710678118654755</v>
      </c>
      <c r="R3">
        <f t="shared" ref="R3:R5" si="6">N3/(O3*P3)</f>
        <v>0</v>
      </c>
      <c r="S3">
        <f t="shared" ref="S3:S5" si="7">ACOS(R3)*180/PI()</f>
        <v>90</v>
      </c>
    </row>
    <row r="4" spans="1:19">
      <c r="A4">
        <v>2</v>
      </c>
      <c r="B4">
        <v>300</v>
      </c>
      <c r="C4">
        <v>400</v>
      </c>
      <c r="D4">
        <f t="shared" si="1"/>
        <v>0.33333333333333331</v>
      </c>
      <c r="F4" t="s">
        <v>100</v>
      </c>
      <c r="G4">
        <f t="shared" si="0"/>
        <v>300</v>
      </c>
      <c r="H4">
        <f t="shared" si="0"/>
        <v>100</v>
      </c>
      <c r="J4" t="s">
        <v>106</v>
      </c>
      <c r="K4">
        <f t="shared" si="2"/>
        <v>-150</v>
      </c>
      <c r="L4">
        <f t="shared" si="2"/>
        <v>-150</v>
      </c>
      <c r="N4">
        <f t="shared" si="3"/>
        <v>-60000</v>
      </c>
      <c r="O4">
        <f t="shared" si="4"/>
        <v>316.22776601683796</v>
      </c>
      <c r="P4">
        <f t="shared" si="5"/>
        <v>212.13203435596427</v>
      </c>
      <c r="R4">
        <f t="shared" si="6"/>
        <v>-0.89442719099991574</v>
      </c>
      <c r="S4">
        <f t="shared" si="7"/>
        <v>153.43494882292202</v>
      </c>
    </row>
    <row r="5" spans="1:19">
      <c r="A5">
        <v>3</v>
      </c>
      <c r="B5">
        <v>600</v>
      </c>
      <c r="C5">
        <v>500</v>
      </c>
      <c r="D5">
        <f t="shared" si="1"/>
        <v>-1</v>
      </c>
      <c r="F5" t="s">
        <v>101</v>
      </c>
      <c r="G5">
        <f t="shared" si="0"/>
        <v>50</v>
      </c>
      <c r="H5">
        <f t="shared" si="0"/>
        <v>-50</v>
      </c>
      <c r="J5" t="s">
        <v>107</v>
      </c>
      <c r="K5">
        <f t="shared" si="2"/>
        <v>-300</v>
      </c>
      <c r="L5">
        <f t="shared" si="2"/>
        <v>-100</v>
      </c>
      <c r="N5">
        <f t="shared" si="3"/>
        <v>-10000</v>
      </c>
      <c r="O5">
        <f t="shared" si="4"/>
        <v>70.710678118654755</v>
      </c>
      <c r="P5">
        <f t="shared" si="5"/>
        <v>316.22776601683796</v>
      </c>
      <c r="R5">
        <f t="shared" si="6"/>
        <v>-0.44721359549995787</v>
      </c>
      <c r="S5">
        <f t="shared" si="7"/>
        <v>116.56505117707799</v>
      </c>
    </row>
    <row r="6" spans="1:19">
      <c r="A6">
        <v>4</v>
      </c>
      <c r="B6">
        <v>650</v>
      </c>
      <c r="C6">
        <v>450</v>
      </c>
      <c r="D6">
        <f t="shared" si="1"/>
        <v>1</v>
      </c>
      <c r="F6" t="s">
        <v>103</v>
      </c>
      <c r="G6">
        <f t="shared" si="0"/>
        <v>-150</v>
      </c>
      <c r="H6">
        <f t="shared" si="0"/>
        <v>-150</v>
      </c>
      <c r="J6" t="s">
        <v>108</v>
      </c>
      <c r="K6">
        <f t="shared" si="2"/>
        <v>-50</v>
      </c>
      <c r="L6">
        <f t="shared" si="2"/>
        <v>50</v>
      </c>
      <c r="N6">
        <f t="shared" si="3"/>
        <v>0</v>
      </c>
      <c r="O6">
        <f t="shared" si="4"/>
        <v>212.13203435596427</v>
      </c>
      <c r="P6">
        <f t="shared" si="5"/>
        <v>70.710678118654755</v>
      </c>
      <c r="R6">
        <f>N6/(O6*P6)</f>
        <v>0</v>
      </c>
      <c r="S6">
        <f>ACOS(R6)*180/PI()</f>
        <v>90</v>
      </c>
    </row>
    <row r="7" spans="1:19">
      <c r="A7">
        <v>5</v>
      </c>
      <c r="B7">
        <v>500</v>
      </c>
      <c r="C7">
        <v>300</v>
      </c>
      <c r="D7">
        <f t="shared" si="1"/>
        <v>0.33333333333333331</v>
      </c>
      <c r="F7" t="s">
        <v>102</v>
      </c>
      <c r="G7">
        <f t="shared" si="0"/>
        <v>-300</v>
      </c>
      <c r="H7">
        <f t="shared" si="0"/>
        <v>-100</v>
      </c>
      <c r="J7" t="s">
        <v>109</v>
      </c>
      <c r="K7">
        <f t="shared" si="2"/>
        <v>150</v>
      </c>
      <c r="L7">
        <f t="shared" si="2"/>
        <v>150</v>
      </c>
      <c r="N7">
        <f t="shared" si="3"/>
        <v>-60000</v>
      </c>
      <c r="O7">
        <f t="shared" si="4"/>
        <v>316.22776601683796</v>
      </c>
      <c r="P7">
        <f t="shared" si="5"/>
        <v>212.13203435596427</v>
      </c>
      <c r="R7">
        <f>N7/(O7*P7)</f>
        <v>-0.89442719099991574</v>
      </c>
      <c r="S7">
        <f>ACOS(R7)*180/PI()</f>
        <v>153.43494882292202</v>
      </c>
    </row>
    <row r="8" spans="1:19">
      <c r="A8">
        <v>6</v>
      </c>
      <c r="B8">
        <f>B2</f>
        <v>200</v>
      </c>
      <c r="C8">
        <f>C2</f>
        <v>200</v>
      </c>
    </row>
    <row r="16" spans="1:19">
      <c r="A16" t="s">
        <v>10</v>
      </c>
      <c r="B16" s="6">
        <v>300</v>
      </c>
      <c r="C16" s="6">
        <v>400</v>
      </c>
    </row>
    <row r="17" spans="1:20">
      <c r="B17" s="5">
        <f>B18</f>
        <v>500</v>
      </c>
      <c r="C17" s="5">
        <f>C16</f>
        <v>400</v>
      </c>
    </row>
    <row r="18" spans="1:20">
      <c r="A18" t="s">
        <v>11</v>
      </c>
      <c r="B18" s="6">
        <v>500</v>
      </c>
      <c r="C18" s="6">
        <v>300</v>
      </c>
    </row>
    <row r="19" spans="1:20">
      <c r="B19" s="5">
        <f>B16</f>
        <v>300</v>
      </c>
      <c r="C19" s="5">
        <f>C18</f>
        <v>300</v>
      </c>
    </row>
    <row r="20" spans="1:20">
      <c r="B20" s="5">
        <f>B16</f>
        <v>300</v>
      </c>
      <c r="C20" s="5">
        <f>C16</f>
        <v>400</v>
      </c>
    </row>
    <row r="22" spans="1:20">
      <c r="A22" t="s">
        <v>14</v>
      </c>
      <c r="B22">
        <f>(C18-C16)/(B18-B16)</f>
        <v>-0.5</v>
      </c>
    </row>
    <row r="23" spans="1:20">
      <c r="A23" t="s">
        <v>13</v>
      </c>
      <c r="B23">
        <v>1</v>
      </c>
      <c r="S23" t="s">
        <v>0</v>
      </c>
      <c r="T23" t="s">
        <v>1</v>
      </c>
    </row>
    <row r="24" spans="1:20">
      <c r="A24" s="7" t="s">
        <v>15</v>
      </c>
      <c r="B24">
        <f>-B23</f>
        <v>-1</v>
      </c>
      <c r="S24">
        <f>B16</f>
        <v>300</v>
      </c>
      <c r="T24">
        <f>B24*(S24-B16)+C16</f>
        <v>400</v>
      </c>
    </row>
    <row r="25" spans="1:20">
      <c r="S25">
        <f>B16+200</f>
        <v>500</v>
      </c>
      <c r="T25">
        <f>B24*(S25-B16)+C16</f>
        <v>200</v>
      </c>
    </row>
    <row r="27" spans="1:20">
      <c r="S27">
        <f>B18</f>
        <v>500</v>
      </c>
      <c r="T27">
        <f>B24*(S27-B18)+C18</f>
        <v>300</v>
      </c>
    </row>
    <row r="28" spans="1:20">
      <c r="S28">
        <f>B18-200</f>
        <v>300</v>
      </c>
      <c r="T28">
        <f>B24*(S28-B18)+C18</f>
        <v>500</v>
      </c>
    </row>
    <row r="30" spans="1:20">
      <c r="S30">
        <f>B16</f>
        <v>300</v>
      </c>
      <c r="T30">
        <f>C16</f>
        <v>400</v>
      </c>
    </row>
    <row r="31" spans="1:20">
      <c r="S31">
        <f>B18</f>
        <v>500</v>
      </c>
      <c r="T31">
        <f>C18</f>
        <v>300</v>
      </c>
    </row>
    <row r="34" spans="19:21">
      <c r="S34">
        <v>200</v>
      </c>
      <c r="T34">
        <f>D2*(S34-B2)+C2</f>
        <v>200</v>
      </c>
      <c r="U34">
        <f>-D2</f>
        <v>1</v>
      </c>
    </row>
    <row r="35" spans="19:21">
      <c r="S35">
        <f>S34+500</f>
        <v>700</v>
      </c>
      <c r="T35">
        <f>U34*(S35-S34)+T34</f>
        <v>700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L6" sqref="L6"/>
    </sheetView>
  </sheetViews>
  <sheetFormatPr defaultRowHeight="15"/>
  <cols>
    <col min="2" max="2" width="8" customWidth="1"/>
    <col min="3" max="3" width="6.5703125" customWidth="1"/>
  </cols>
  <sheetData>
    <row r="1" spans="1:15" ht="15.75" thickBot="1">
      <c r="A1" s="2" t="s">
        <v>4</v>
      </c>
      <c r="B1" t="s">
        <v>0</v>
      </c>
      <c r="C1" t="s">
        <v>1</v>
      </c>
      <c r="E1" s="2"/>
      <c r="G1" s="2"/>
    </row>
    <row r="2" spans="1:15">
      <c r="A2">
        <v>0</v>
      </c>
      <c r="B2">
        <v>365</v>
      </c>
      <c r="C2">
        <v>395</v>
      </c>
      <c r="D2">
        <f t="shared" ref="D2:D5" si="0">(C3-C2)/(B3-B2)</f>
        <v>0.6470588235294118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>
        <v>1</v>
      </c>
      <c r="B3">
        <v>450</v>
      </c>
      <c r="C3">
        <v>450</v>
      </c>
      <c r="D3">
        <f t="shared" si="0"/>
        <v>0.05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>
        <v>2</v>
      </c>
      <c r="B4">
        <v>550</v>
      </c>
      <c r="C4">
        <v>455</v>
      </c>
      <c r="D4">
        <f t="shared" si="0"/>
        <v>1.196078431372549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>
        <v>3</v>
      </c>
      <c r="B5">
        <v>295</v>
      </c>
      <c r="C5">
        <v>150</v>
      </c>
      <c r="D5">
        <f t="shared" si="0"/>
        <v>30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>
        <v>4</v>
      </c>
      <c r="B6">
        <v>300</v>
      </c>
      <c r="C6">
        <v>300</v>
      </c>
      <c r="D6">
        <f>(C7-C6)/(B7-B6)</f>
        <v>1.4615384615384615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>
        <v>5</v>
      </c>
      <c r="B7">
        <f>B2</f>
        <v>365</v>
      </c>
      <c r="C7">
        <f>C2</f>
        <v>395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O9" s="9"/>
    </row>
    <row r="10" spans="1:15">
      <c r="O10" s="9"/>
    </row>
    <row r="11" spans="1:15">
      <c r="O11" s="9"/>
    </row>
    <row r="12" spans="1:15">
      <c r="O12" s="9"/>
    </row>
    <row r="13" spans="1:15">
      <c r="O13" s="9"/>
    </row>
    <row r="14" spans="1:15">
      <c r="A14" t="s">
        <v>3</v>
      </c>
      <c r="B14">
        <f>MIN(B2:B7)</f>
        <v>295</v>
      </c>
      <c r="C14">
        <f>MIN(C2:C7)</f>
        <v>150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t="s">
        <v>2</v>
      </c>
      <c r="B15">
        <f>MAX(B2:B7)</f>
        <v>550</v>
      </c>
      <c r="C15">
        <f>MAX(C2:C7)</f>
        <v>455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B17" s="3" t="s">
        <v>0</v>
      </c>
      <c r="C17" s="3" t="s">
        <v>1</v>
      </c>
      <c r="D17" s="3" t="s">
        <v>9</v>
      </c>
      <c r="E17" s="9"/>
      <c r="G17" s="3" t="s">
        <v>0</v>
      </c>
      <c r="H17" s="3" t="s">
        <v>1</v>
      </c>
      <c r="I17" s="3" t="s">
        <v>9</v>
      </c>
      <c r="J17" s="9"/>
      <c r="L17" s="3" t="s">
        <v>0</v>
      </c>
      <c r="M17" s="3" t="s">
        <v>1</v>
      </c>
      <c r="N17" s="3" t="s">
        <v>9</v>
      </c>
      <c r="O17" s="9"/>
    </row>
    <row r="18" spans="1:15">
      <c r="A18" t="s">
        <v>34</v>
      </c>
      <c r="B18" s="3">
        <v>365</v>
      </c>
      <c r="C18" s="3">
        <v>395</v>
      </c>
      <c r="D18" s="3">
        <v>2</v>
      </c>
      <c r="E18" s="9"/>
      <c r="F18" t="s">
        <v>36</v>
      </c>
      <c r="G18" s="3">
        <v>300</v>
      </c>
      <c r="H18" s="3">
        <v>300</v>
      </c>
      <c r="I18" s="3">
        <v>2</v>
      </c>
      <c r="J18" s="9"/>
      <c r="K18" t="s">
        <v>10</v>
      </c>
      <c r="L18" s="3">
        <v>450</v>
      </c>
      <c r="M18" s="3">
        <v>450</v>
      </c>
      <c r="N18" s="3">
        <v>2</v>
      </c>
      <c r="O18" s="9"/>
    </row>
    <row r="19" spans="1:15">
      <c r="B19" s="3">
        <f>B18</f>
        <v>365</v>
      </c>
      <c r="C19" s="3">
        <f>C20</f>
        <v>314.3650980392157</v>
      </c>
      <c r="D19" s="3"/>
      <c r="E19" s="9"/>
      <c r="G19" s="3">
        <f>G18</f>
        <v>300</v>
      </c>
      <c r="H19" s="3">
        <f>H20</f>
        <v>227.98431372549018</v>
      </c>
      <c r="I19" s="3"/>
      <c r="J19" s="9"/>
      <c r="L19" s="3">
        <f>L18</f>
        <v>450</v>
      </c>
      <c r="M19" s="3">
        <f>M20</f>
        <v>392.68431372549014</v>
      </c>
      <c r="N19" s="3"/>
      <c r="O19" s="9"/>
    </row>
    <row r="20" spans="1:15">
      <c r="A20" t="s">
        <v>35</v>
      </c>
      <c r="B20" s="3">
        <v>432.42</v>
      </c>
      <c r="C20" s="3">
        <f>D4*(B20-B4)+C4</f>
        <v>314.3650980392157</v>
      </c>
      <c r="D20" s="3">
        <f>-(C20-C18)/(B20-B18)</f>
        <v>1.196008631871615</v>
      </c>
      <c r="E20" s="9"/>
      <c r="F20" t="s">
        <v>37</v>
      </c>
      <c r="G20" s="3">
        <v>360.2</v>
      </c>
      <c r="H20" s="3">
        <f>D4*(G20-B4)+C4</f>
        <v>227.98431372549018</v>
      </c>
      <c r="I20" s="3">
        <f>-(H20-H18)/(G20-G18)</f>
        <v>1.1962738583805619</v>
      </c>
      <c r="J20" s="9"/>
      <c r="K20" t="s">
        <v>11</v>
      </c>
      <c r="L20" s="3">
        <v>497.9</v>
      </c>
      <c r="M20" s="3">
        <f>D4*(L20-B4)+C4</f>
        <v>392.68431372549014</v>
      </c>
      <c r="N20" s="3">
        <f>-(M20-M18)/(L20-L18)</f>
        <v>1.1965696508248411</v>
      </c>
      <c r="O20" s="9"/>
    </row>
    <row r="21" spans="1:15">
      <c r="B21" s="3">
        <f>B20</f>
        <v>432.42</v>
      </c>
      <c r="C21" s="3">
        <f>C18</f>
        <v>395</v>
      </c>
      <c r="D21" s="3"/>
      <c r="E21" s="9"/>
      <c r="G21" s="3">
        <f>G20</f>
        <v>360.2</v>
      </c>
      <c r="H21" s="3">
        <f>H18</f>
        <v>300</v>
      </c>
      <c r="I21" s="3"/>
      <c r="J21" s="9"/>
      <c r="L21" s="3">
        <f>L20</f>
        <v>497.9</v>
      </c>
      <c r="M21" s="3">
        <f>M18</f>
        <v>450</v>
      </c>
      <c r="N21" s="3"/>
      <c r="O21" s="9"/>
    </row>
    <row r="22" spans="1:15">
      <c r="B22" s="3">
        <f>B18</f>
        <v>365</v>
      </c>
      <c r="C22" s="3">
        <f>C18</f>
        <v>395</v>
      </c>
      <c r="D22" s="3"/>
      <c r="E22" s="9"/>
      <c r="G22" s="3">
        <f>G18</f>
        <v>300</v>
      </c>
      <c r="H22" s="3">
        <f>H18</f>
        <v>300</v>
      </c>
      <c r="I22" s="3"/>
      <c r="J22" s="9"/>
      <c r="L22" s="3">
        <f>L18</f>
        <v>450</v>
      </c>
      <c r="M22" s="3">
        <f>M18</f>
        <v>450</v>
      </c>
      <c r="N22" s="3"/>
      <c r="O22" s="9"/>
    </row>
    <row r="23" spans="1:15">
      <c r="E23" s="9"/>
      <c r="J23" s="9"/>
      <c r="O23" s="9"/>
    </row>
    <row r="24" spans="1:15">
      <c r="A24" s="9" t="s">
        <v>29</v>
      </c>
      <c r="B24" s="9">
        <f>B25-50</f>
        <v>315</v>
      </c>
      <c r="C24" s="9">
        <f>$D$24*(B24-$B$18)+$C$18</f>
        <v>335.19607843137254</v>
      </c>
      <c r="D24" s="9">
        <f>D27</f>
        <v>1.196078431372549</v>
      </c>
      <c r="E24" s="9"/>
      <c r="F24" s="9" t="s">
        <v>38</v>
      </c>
      <c r="G24" s="9">
        <f>G25-50</f>
        <v>250</v>
      </c>
      <c r="H24" s="9">
        <f>$I$24*(G24-$G$18)+$H$18</f>
        <v>240.19607843137254</v>
      </c>
      <c r="I24" s="9">
        <f>I27</f>
        <v>1.196078431372549</v>
      </c>
      <c r="J24" s="9"/>
      <c r="K24" s="9" t="s">
        <v>43</v>
      </c>
      <c r="L24" s="9">
        <f>L25-50</f>
        <v>400</v>
      </c>
      <c r="M24" s="9">
        <f>$N$24*(L24-$L$18)+$M$18</f>
        <v>390.19607843137254</v>
      </c>
      <c r="N24" s="9">
        <f>N27</f>
        <v>1.196078431372549</v>
      </c>
      <c r="O24" s="9"/>
    </row>
    <row r="25" spans="1:15">
      <c r="A25" s="9"/>
      <c r="B25" s="9">
        <f>B18</f>
        <v>365</v>
      </c>
      <c r="C25" s="9">
        <f>$D$24*(B25-$B$18)+$C$18</f>
        <v>395</v>
      </c>
      <c r="D25" s="9"/>
      <c r="E25" s="9"/>
      <c r="F25" s="9"/>
      <c r="G25" s="9">
        <f>G18</f>
        <v>300</v>
      </c>
      <c r="H25" s="9">
        <f>$I$24*(G25-$G$18)+$H$18</f>
        <v>300</v>
      </c>
      <c r="I25" s="9"/>
      <c r="J25" s="9"/>
      <c r="K25" s="9"/>
      <c r="L25" s="9">
        <f>L18</f>
        <v>450</v>
      </c>
      <c r="M25" s="9">
        <f>$N$24*(L25-$L$18)+$M$18</f>
        <v>450</v>
      </c>
      <c r="N25" s="9"/>
      <c r="O25" s="9"/>
    </row>
    <row r="26" spans="1:15">
      <c r="A26" s="9"/>
      <c r="B26" s="9">
        <f>B25+50</f>
        <v>415</v>
      </c>
      <c r="C26" s="9">
        <f>$D$24*(B26-$B$18)+$C$18</f>
        <v>454.80392156862746</v>
      </c>
      <c r="D26" s="9"/>
      <c r="E26" s="9"/>
      <c r="F26" s="9"/>
      <c r="G26" s="9">
        <f>G25+50</f>
        <v>350</v>
      </c>
      <c r="H26" s="9">
        <f>$I$24*(G26-$G$18)+$H$18</f>
        <v>359.80392156862746</v>
      </c>
      <c r="I26" s="9"/>
      <c r="J26" s="9"/>
      <c r="K26" s="9"/>
      <c r="L26" s="9">
        <f>L25+50</f>
        <v>500</v>
      </c>
      <c r="M26" s="9">
        <f>$N$24*(L26-$L$18)+$M$18</f>
        <v>509.80392156862746</v>
      </c>
      <c r="N26" s="9"/>
      <c r="O26" s="9"/>
    </row>
    <row r="27" spans="1:15">
      <c r="A27" s="9" t="s">
        <v>30</v>
      </c>
      <c r="B27" s="9">
        <f>B28-50</f>
        <v>382.42</v>
      </c>
      <c r="C27" s="9">
        <f>$D$27*(B27-$B$20)+$C$20</f>
        <v>254.56117647058824</v>
      </c>
      <c r="D27" s="9">
        <f>($C$5-$C$4)/($B$5-$B$4)</f>
        <v>1.196078431372549</v>
      </c>
      <c r="E27" s="9"/>
      <c r="F27" s="9" t="s">
        <v>39</v>
      </c>
      <c r="G27" s="9">
        <f>G28-50</f>
        <v>310.2</v>
      </c>
      <c r="H27" s="9">
        <f>$I$27*(G27-$G$20)+$H$20</f>
        <v>168.18039215686272</v>
      </c>
      <c r="I27" s="9">
        <f>($C$5-$C$4)/($B$5-$B$4)</f>
        <v>1.196078431372549</v>
      </c>
      <c r="J27" s="9"/>
      <c r="K27" s="9" t="s">
        <v>44</v>
      </c>
      <c r="L27" s="9">
        <f>L28-50</f>
        <v>447.9</v>
      </c>
      <c r="M27" s="9">
        <f>$N$27*(L27-$L$20)+$M$20</f>
        <v>332.88039215686268</v>
      </c>
      <c r="N27" s="9">
        <f>($C$5-$C$4)/($B$5-$B$4)</f>
        <v>1.196078431372549</v>
      </c>
      <c r="O27" s="9"/>
    </row>
    <row r="28" spans="1:15">
      <c r="A28" s="9"/>
      <c r="B28" s="9">
        <f>B20</f>
        <v>432.42</v>
      </c>
      <c r="C28" s="9">
        <f>$D$27*(B28-$B$20)+$C$20</f>
        <v>314.3650980392157</v>
      </c>
      <c r="D28" s="9"/>
      <c r="E28" s="9"/>
      <c r="F28" s="9"/>
      <c r="G28" s="9">
        <f>G20</f>
        <v>360.2</v>
      </c>
      <c r="H28" s="9">
        <f>$I$27*(G28-$G$20)+$H$20</f>
        <v>227.98431372549018</v>
      </c>
      <c r="I28" s="9"/>
      <c r="J28" s="9"/>
      <c r="K28" s="9"/>
      <c r="L28" s="9">
        <f>L20</f>
        <v>497.9</v>
      </c>
      <c r="M28" s="9">
        <f>$N$27*(L28-$L$20)+$M$20</f>
        <v>392.68431372549014</v>
      </c>
      <c r="N28" s="9"/>
      <c r="O28" s="9"/>
    </row>
    <row r="29" spans="1:15">
      <c r="A29" s="9"/>
      <c r="B29" s="9">
        <f>B28+50</f>
        <v>482.42</v>
      </c>
      <c r="C29" s="9">
        <f>$D$27*(B29-$B$20)+$C$20</f>
        <v>374.16901960784315</v>
      </c>
      <c r="D29" s="9"/>
      <c r="E29" s="9"/>
      <c r="F29" s="9"/>
      <c r="G29" s="9">
        <f>G28+50</f>
        <v>410.2</v>
      </c>
      <c r="H29" s="9">
        <f>$I$27*(G29-$G$20)+$H$20</f>
        <v>287.78823529411761</v>
      </c>
      <c r="I29" s="9"/>
      <c r="J29" s="9"/>
      <c r="K29" s="9"/>
      <c r="L29" s="9">
        <f>L28+50</f>
        <v>547.9</v>
      </c>
      <c r="M29" s="9">
        <f>$N$27*(L29-$L$20)+$M$20</f>
        <v>452.4882352941176</v>
      </c>
      <c r="N29" s="9"/>
      <c r="O29" s="9"/>
    </row>
    <row r="30" spans="1:15">
      <c r="J30" s="9"/>
      <c r="O30" s="9"/>
    </row>
    <row r="31" spans="1:15">
      <c r="A31" t="s">
        <v>31</v>
      </c>
      <c r="B31">
        <f>ABS((B20-B19)*(C20-C21))</f>
        <v>5436.4050901960791</v>
      </c>
      <c r="F31" t="s">
        <v>40</v>
      </c>
      <c r="G31">
        <f>ABS((G20-G19)*(H20-H21))</f>
        <v>4335.3443137254899</v>
      </c>
      <c r="J31" s="9"/>
      <c r="K31" t="s">
        <v>45</v>
      </c>
      <c r="L31">
        <f>ABS((L20-L19)*(M20-M21))</f>
        <v>2745.4213725490208</v>
      </c>
      <c r="O31" s="9"/>
    </row>
    <row r="32" spans="1:15">
      <c r="E32" s="9"/>
      <c r="J32" s="9"/>
    </row>
    <row r="33" spans="1:13">
      <c r="A33" t="s">
        <v>32</v>
      </c>
      <c r="B33">
        <f>B18</f>
        <v>365</v>
      </c>
      <c r="C33">
        <f>C18</f>
        <v>395</v>
      </c>
      <c r="E33" s="9"/>
      <c r="F33" t="s">
        <v>41</v>
      </c>
      <c r="G33">
        <f>G18</f>
        <v>300</v>
      </c>
      <c r="H33">
        <f>H18</f>
        <v>300</v>
      </c>
      <c r="J33" s="9"/>
      <c r="K33" t="s">
        <v>46</v>
      </c>
      <c r="L33">
        <f>L18</f>
        <v>450</v>
      </c>
      <c r="M33">
        <f>M18</f>
        <v>450</v>
      </c>
    </row>
    <row r="34" spans="1:13">
      <c r="A34" s="4"/>
      <c r="B34">
        <f>B33+100</f>
        <v>465</v>
      </c>
      <c r="C34">
        <f>-D24*(B34-B33)+C33</f>
        <v>275.39215686274508</v>
      </c>
      <c r="E34" s="9"/>
      <c r="F34" s="4"/>
      <c r="G34">
        <f>G33+100</f>
        <v>400</v>
      </c>
      <c r="H34">
        <f>-I24*(G34-G33)+H33</f>
        <v>180.39215686274508</v>
      </c>
      <c r="J34" s="9"/>
      <c r="K34" s="4"/>
      <c r="L34">
        <f>L33+100</f>
        <v>550</v>
      </c>
      <c r="M34">
        <f>-N24*(L34-L33)+M33</f>
        <v>330.39215686274508</v>
      </c>
    </row>
    <row r="35" spans="1:13">
      <c r="A35" t="s">
        <v>33</v>
      </c>
      <c r="B35">
        <f>B20</f>
        <v>432.42</v>
      </c>
      <c r="C35">
        <f>C20</f>
        <v>314.3650980392157</v>
      </c>
      <c r="E35" s="9"/>
      <c r="F35" t="s">
        <v>42</v>
      </c>
      <c r="G35">
        <f>G20</f>
        <v>360.2</v>
      </c>
      <c r="H35">
        <f>H20</f>
        <v>227.98431372549018</v>
      </c>
      <c r="J35" s="9"/>
      <c r="K35" t="s">
        <v>47</v>
      </c>
      <c r="L35">
        <f>L20</f>
        <v>497.9</v>
      </c>
      <c r="M35">
        <f>M20</f>
        <v>392.68431372549014</v>
      </c>
    </row>
    <row r="36" spans="1:13">
      <c r="B36">
        <f>B35-100</f>
        <v>332.42</v>
      </c>
      <c r="C36">
        <f>-D27*(B36-B35)+C35</f>
        <v>433.97294117647061</v>
      </c>
      <c r="E36" s="9"/>
      <c r="G36">
        <f>G35-100</f>
        <v>260.2</v>
      </c>
      <c r="H36">
        <f>-I27*(G36-G35)+H35</f>
        <v>347.59215686274507</v>
      </c>
      <c r="J36" s="9"/>
      <c r="L36">
        <f>L35-100</f>
        <v>397.9</v>
      </c>
      <c r="M36">
        <f>-N27*(L36-L35)+M35</f>
        <v>512.29215686274506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Q22" sqref="Q22"/>
    </sheetView>
  </sheetViews>
  <sheetFormatPr defaultRowHeight="15"/>
  <cols>
    <col min="2" max="2" width="8" customWidth="1"/>
    <col min="3" max="3" width="6.5703125" customWidth="1"/>
  </cols>
  <sheetData>
    <row r="1" spans="1:18" ht="15.75" thickBot="1">
      <c r="A1" s="2" t="s">
        <v>4</v>
      </c>
      <c r="B1" t="s">
        <v>0</v>
      </c>
      <c r="C1" t="s">
        <v>1</v>
      </c>
      <c r="E1" s="2"/>
      <c r="G1" s="2"/>
    </row>
    <row r="2" spans="1:18">
      <c r="A2">
        <v>0</v>
      </c>
      <c r="B2">
        <v>420</v>
      </c>
      <c r="C2">
        <v>475</v>
      </c>
      <c r="D2">
        <f t="shared" ref="D2:D7" si="0">(C3-C2)/(B3-B2)</f>
        <v>-1.3636363636363635</v>
      </c>
      <c r="E2" s="9"/>
      <c r="F2" s="9">
        <f>400+(400-B2)</f>
        <v>380</v>
      </c>
      <c r="G2" s="9"/>
      <c r="H2" s="9"/>
      <c r="I2" s="9"/>
      <c r="J2" s="9"/>
      <c r="K2" s="9"/>
      <c r="L2" s="9"/>
      <c r="M2" s="9"/>
      <c r="N2" s="9"/>
      <c r="O2" s="9"/>
    </row>
    <row r="3" spans="1:18">
      <c r="A3">
        <v>1</v>
      </c>
      <c r="B3">
        <v>475</v>
      </c>
      <c r="C3">
        <v>400</v>
      </c>
      <c r="D3">
        <f t="shared" si="0"/>
        <v>-4</v>
      </c>
      <c r="E3" s="9"/>
      <c r="F3" s="9">
        <f t="shared" ref="F3:F7" si="1">400+(400-B3)</f>
        <v>325</v>
      </c>
      <c r="G3" s="9"/>
      <c r="H3" s="9"/>
      <c r="I3" s="9"/>
      <c r="J3" s="9"/>
      <c r="K3" s="9"/>
      <c r="L3" s="9"/>
      <c r="M3" s="9"/>
      <c r="N3" s="9"/>
      <c r="O3" s="9"/>
    </row>
    <row r="4" spans="1:18">
      <c r="A4">
        <v>2</v>
      </c>
      <c r="B4">
        <v>500</v>
      </c>
      <c r="C4">
        <v>300</v>
      </c>
      <c r="D4" t="e">
        <f t="shared" si="0"/>
        <v>#DIV/0!</v>
      </c>
      <c r="E4" s="9"/>
      <c r="F4" s="9">
        <f t="shared" si="1"/>
        <v>300</v>
      </c>
      <c r="G4" s="9"/>
      <c r="H4" s="9"/>
      <c r="I4" s="9"/>
      <c r="J4" s="9"/>
      <c r="K4" s="9"/>
      <c r="L4" s="9"/>
      <c r="M4" s="9"/>
      <c r="N4" s="9"/>
      <c r="O4" s="9"/>
    </row>
    <row r="5" spans="1:18">
      <c r="A5">
        <v>3</v>
      </c>
      <c r="B5">
        <v>500</v>
      </c>
      <c r="C5">
        <v>150</v>
      </c>
      <c r="D5">
        <f t="shared" si="0"/>
        <v>-1.4</v>
      </c>
      <c r="E5" s="9"/>
      <c r="F5" s="9">
        <f t="shared" si="1"/>
        <v>300</v>
      </c>
      <c r="G5" s="9"/>
      <c r="H5" s="9"/>
      <c r="I5" s="9"/>
      <c r="J5" s="9"/>
      <c r="K5" s="9"/>
      <c r="L5" s="9"/>
      <c r="M5" s="9"/>
      <c r="N5" s="9"/>
      <c r="O5" s="9"/>
    </row>
    <row r="6" spans="1:18">
      <c r="A6">
        <v>4</v>
      </c>
      <c r="B6">
        <v>250</v>
      </c>
      <c r="C6">
        <v>500</v>
      </c>
      <c r="D6">
        <f t="shared" si="0"/>
        <v>0</v>
      </c>
      <c r="E6" s="9"/>
      <c r="F6" s="9">
        <f t="shared" si="1"/>
        <v>550</v>
      </c>
      <c r="G6" s="9"/>
      <c r="H6" s="9" t="s">
        <v>89</v>
      </c>
      <c r="I6" s="9"/>
      <c r="J6" s="9"/>
      <c r="K6" s="9"/>
      <c r="L6" s="9"/>
      <c r="M6" s="9"/>
      <c r="N6" s="9"/>
      <c r="O6" s="9"/>
    </row>
    <row r="7" spans="1:18">
      <c r="A7">
        <v>5</v>
      </c>
      <c r="B7">
        <v>350</v>
      </c>
      <c r="C7">
        <v>500</v>
      </c>
      <c r="D7">
        <f t="shared" si="0"/>
        <v>-0.35714285714285715</v>
      </c>
      <c r="E7" s="9"/>
      <c r="F7" s="9">
        <f t="shared" si="1"/>
        <v>450</v>
      </c>
      <c r="G7" s="9"/>
      <c r="H7" s="9"/>
      <c r="I7" s="9"/>
      <c r="J7" s="9"/>
      <c r="K7" s="9"/>
      <c r="L7" s="9"/>
      <c r="M7" s="9"/>
      <c r="N7" s="9"/>
      <c r="O7" s="9"/>
    </row>
    <row r="8" spans="1:18">
      <c r="A8">
        <v>6</v>
      </c>
      <c r="B8">
        <f>B2</f>
        <v>420</v>
      </c>
      <c r="C8">
        <f>C2</f>
        <v>475</v>
      </c>
      <c r="E8" s="9"/>
      <c r="F8" s="9"/>
      <c r="G8" s="9"/>
      <c r="H8" s="9">
        <f>B4</f>
        <v>500</v>
      </c>
      <c r="I8" s="9">
        <f>C4</f>
        <v>300</v>
      </c>
      <c r="J8" s="9"/>
      <c r="K8" s="9">
        <f>H8*I8+H9*I9</f>
        <v>225000</v>
      </c>
      <c r="L8" s="9"/>
      <c r="M8" s="9"/>
      <c r="N8" s="9"/>
      <c r="O8" s="9"/>
    </row>
    <row r="9" spans="1:18">
      <c r="G9" s="9"/>
      <c r="H9" s="9">
        <f>B5</f>
        <v>500</v>
      </c>
      <c r="I9" s="9">
        <f>C5</f>
        <v>150</v>
      </c>
      <c r="J9" s="9"/>
      <c r="K9" s="9"/>
      <c r="L9" s="9"/>
      <c r="M9" s="9"/>
      <c r="N9" s="9"/>
      <c r="O9" s="9"/>
    </row>
    <row r="10" spans="1:18">
      <c r="F10">
        <v>3</v>
      </c>
      <c r="G10" s="9"/>
      <c r="H10" s="9"/>
      <c r="I10" s="9"/>
      <c r="J10" s="9"/>
      <c r="K10" s="9"/>
      <c r="L10" s="9"/>
      <c r="M10" s="9"/>
      <c r="N10" s="9"/>
      <c r="O10" s="9"/>
    </row>
    <row r="11" spans="1:18">
      <c r="A11" t="s">
        <v>3</v>
      </c>
      <c r="B11">
        <f>MIN(B2:B8)</f>
        <v>250</v>
      </c>
      <c r="C11">
        <f>MIN(C2:C8)</f>
        <v>150</v>
      </c>
      <c r="E11" s="9"/>
      <c r="F11" s="9">
        <v>2</v>
      </c>
      <c r="G11" s="9"/>
      <c r="H11" s="9"/>
      <c r="I11" s="9"/>
      <c r="J11" s="9"/>
      <c r="K11" s="9"/>
      <c r="L11" s="9"/>
      <c r="M11" s="9"/>
      <c r="N11" s="9"/>
      <c r="O11" s="9"/>
      <c r="P11" t="s">
        <v>94</v>
      </c>
    </row>
    <row r="12" spans="1:18">
      <c r="A12" t="s">
        <v>2</v>
      </c>
      <c r="B12">
        <f>MAX(B2:B8)</f>
        <v>500</v>
      </c>
      <c r="C12">
        <f>MAX(C2:C8)</f>
        <v>500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8">
      <c r="E13" s="9"/>
      <c r="F13" s="9"/>
      <c r="G13" s="9"/>
      <c r="H13" s="9"/>
      <c r="I13" s="9"/>
      <c r="J13" s="9"/>
      <c r="K13" s="9"/>
      <c r="L13" s="9"/>
      <c r="M13" s="9">
        <v>4</v>
      </c>
      <c r="N13" s="9" t="s">
        <v>90</v>
      </c>
      <c r="O13" s="9"/>
      <c r="Q13" t="s">
        <v>110</v>
      </c>
    </row>
    <row r="14" spans="1:18">
      <c r="B14" s="3" t="s">
        <v>0</v>
      </c>
      <c r="C14" s="3" t="s">
        <v>1</v>
      </c>
      <c r="D14" s="3" t="s">
        <v>9</v>
      </c>
      <c r="E14" s="9"/>
      <c r="F14" s="9"/>
      <c r="G14" s="9"/>
      <c r="H14" s="9"/>
      <c r="I14" s="9"/>
      <c r="J14" s="9"/>
      <c r="K14" s="9"/>
      <c r="L14" s="9"/>
      <c r="M14" s="9">
        <v>5</v>
      </c>
      <c r="N14" s="9" t="s">
        <v>91</v>
      </c>
      <c r="O14" s="9"/>
      <c r="R14" t="s">
        <v>111</v>
      </c>
    </row>
    <row r="15" spans="1:18">
      <c r="A15" t="s">
        <v>10</v>
      </c>
      <c r="B15" s="3">
        <v>365</v>
      </c>
      <c r="C15" s="3">
        <v>395</v>
      </c>
      <c r="D15" s="3">
        <v>2</v>
      </c>
      <c r="E15" s="9"/>
      <c r="F15" s="9"/>
      <c r="G15" s="9"/>
      <c r="H15" s="9"/>
      <c r="I15" s="9"/>
      <c r="J15" s="9"/>
      <c r="K15" s="9"/>
      <c r="L15" s="9"/>
      <c r="M15" s="9">
        <v>2</v>
      </c>
      <c r="N15" s="9" t="s">
        <v>93</v>
      </c>
      <c r="O15" s="9"/>
      <c r="Q15" t="s">
        <v>112</v>
      </c>
    </row>
    <row r="16" spans="1:18">
      <c r="B16" s="3">
        <f>B15</f>
        <v>365</v>
      </c>
      <c r="C16" s="3" t="e">
        <f>C17</f>
        <v>#DIV/0!</v>
      </c>
      <c r="D16" s="3"/>
      <c r="E16" s="9"/>
      <c r="F16" s="9"/>
      <c r="G16" s="9"/>
      <c r="H16" s="9"/>
      <c r="I16" s="9"/>
      <c r="J16" s="9"/>
      <c r="K16" s="9"/>
      <c r="L16" s="9"/>
      <c r="M16" s="9">
        <v>3</v>
      </c>
      <c r="N16" s="9" t="s">
        <v>92</v>
      </c>
      <c r="O16" s="9"/>
      <c r="R16" t="s">
        <v>113</v>
      </c>
    </row>
    <row r="17" spans="1:18">
      <c r="A17" t="s">
        <v>11</v>
      </c>
      <c r="B17" s="3">
        <v>435</v>
      </c>
      <c r="C17" s="3" t="e">
        <f>D4*(B17-B4)+C4</f>
        <v>#DIV/0!</v>
      </c>
      <c r="D17" s="3" t="e">
        <f>-(C17-C15)/(B17-B15)</f>
        <v>#DIV/0!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 t="s">
        <v>114</v>
      </c>
      <c r="R17" s="9"/>
    </row>
    <row r="18" spans="1:18">
      <c r="B18" s="3">
        <f>B17</f>
        <v>435</v>
      </c>
      <c r="C18" s="3">
        <f>C15</f>
        <v>395</v>
      </c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 t="s">
        <v>115</v>
      </c>
    </row>
    <row r="19" spans="1:18">
      <c r="B19" s="3">
        <f>B15</f>
        <v>365</v>
      </c>
      <c r="C19" s="3">
        <f>C15</f>
        <v>395</v>
      </c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 t="s">
        <v>116</v>
      </c>
      <c r="R19" s="9"/>
    </row>
    <row r="20" spans="1:18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 t="s">
        <v>117</v>
      </c>
    </row>
    <row r="21" spans="1:18">
      <c r="A21" s="9" t="s">
        <v>25</v>
      </c>
      <c r="B21" s="9">
        <f>B22-50</f>
        <v>315</v>
      </c>
      <c r="C21" s="9" t="e">
        <f>$D$21*(B21-$B$15)+$C$15</f>
        <v>#DIV/0!</v>
      </c>
      <c r="D21" s="9" t="e">
        <f>D24</f>
        <v>#DIV/0!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8">
      <c r="A22" s="9"/>
      <c r="B22" s="9">
        <f>B15</f>
        <v>365</v>
      </c>
      <c r="C22" s="9" t="e">
        <f>$D$21*(B22-$B$15)+$C$15</f>
        <v>#DIV/0!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8">
      <c r="A23" s="9"/>
      <c r="B23" s="9">
        <f>B22+50</f>
        <v>415</v>
      </c>
      <c r="C23" s="9" t="e">
        <f>$D$21*(B23-$B$15)+$C$15</f>
        <v>#DIV/0!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8">
      <c r="A24" s="9" t="s">
        <v>26</v>
      </c>
      <c r="B24" s="9">
        <f>B25-50</f>
        <v>385</v>
      </c>
      <c r="C24" s="9" t="e">
        <f>$D$24*(B24-$B$17)+$C$17</f>
        <v>#DIV/0!</v>
      </c>
      <c r="D24" s="9" t="e">
        <f>(C5-C4)/(B5-B4)</f>
        <v>#DIV/0!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8">
      <c r="A25" s="9"/>
      <c r="B25" s="9">
        <f>B17</f>
        <v>435</v>
      </c>
      <c r="C25" s="9" t="e">
        <f>$D$24*(B25-$B$17)+$C$17</f>
        <v>#DIV/0!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8">
      <c r="A26" s="9"/>
      <c r="B26" s="9">
        <f>B25+50</f>
        <v>485</v>
      </c>
      <c r="C26" s="9" t="e">
        <f>$D$24*(B26-$B$17)+$C$17</f>
        <v>#DIV/0!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8">
      <c r="G27" s="9"/>
      <c r="H27" s="9"/>
      <c r="I27" s="9"/>
      <c r="J27" s="9"/>
      <c r="K27" s="9"/>
      <c r="L27" s="9"/>
      <c r="M27" s="9"/>
      <c r="N27" s="9"/>
      <c r="O27" s="9"/>
    </row>
    <row r="28" spans="1:18">
      <c r="A28" t="s">
        <v>12</v>
      </c>
      <c r="B28" t="e">
        <f>ABS((B17-B16)*(C17-C18))</f>
        <v>#DIV/0!</v>
      </c>
      <c r="G28" s="9"/>
      <c r="H28" s="9"/>
      <c r="I28" s="9"/>
      <c r="J28" s="9"/>
      <c r="K28" s="9"/>
      <c r="L28" s="9"/>
      <c r="M28" s="9"/>
      <c r="N28" s="9"/>
      <c r="O28" s="9"/>
    </row>
    <row r="29" spans="1:18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8">
      <c r="A30" t="s">
        <v>27</v>
      </c>
      <c r="B30">
        <f>B15</f>
        <v>365</v>
      </c>
      <c r="C30">
        <f>C15</f>
        <v>395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8">
      <c r="A31" s="4"/>
      <c r="B31">
        <f>B30+100</f>
        <v>465</v>
      </c>
      <c r="C31" t="e">
        <f>-D21*(B31-B30)+C30</f>
        <v>#DIV/0!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8">
      <c r="A32" t="s">
        <v>28</v>
      </c>
      <c r="B32">
        <f>B17</f>
        <v>435</v>
      </c>
      <c r="C32" t="e">
        <f>C17</f>
        <v>#DIV/0!</v>
      </c>
      <c r="E32" s="9"/>
      <c r="F32" s="9"/>
    </row>
    <row r="33" spans="1:6">
      <c r="B33">
        <f>B32-100</f>
        <v>335</v>
      </c>
      <c r="C33" t="e">
        <f>-D24*(B33-B32)+C32</f>
        <v>#DIV/0!</v>
      </c>
      <c r="E33" s="9"/>
      <c r="F33" s="9"/>
    </row>
    <row r="34" spans="1:6">
      <c r="A34" s="4"/>
    </row>
  </sheetData>
  <sortState ref="A2:D8">
    <sortCondition descending="1" ref="A2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X5" sqref="X5"/>
    </sheetView>
  </sheetViews>
  <sheetFormatPr defaultRowHeight="15"/>
  <sheetData>
    <row r="1" spans="1:9" ht="15.75" thickBot="1">
      <c r="A1" s="2" t="s">
        <v>4</v>
      </c>
      <c r="B1" t="s">
        <v>0</v>
      </c>
      <c r="C1" t="s">
        <v>1</v>
      </c>
      <c r="E1" s="2"/>
      <c r="G1" s="2"/>
    </row>
    <row r="2" spans="1:9">
      <c r="A2">
        <v>0</v>
      </c>
      <c r="B2">
        <v>200</v>
      </c>
      <c r="C2">
        <v>200</v>
      </c>
      <c r="D2" t="e">
        <f t="shared" ref="D2:D6" si="0">(C3-C2)/(B3-B2)</f>
        <v>#DIV/0!</v>
      </c>
      <c r="E2" s="9"/>
      <c r="F2" s="9"/>
      <c r="G2" s="9"/>
      <c r="H2" s="9"/>
      <c r="I2" s="9"/>
    </row>
    <row r="3" spans="1:9">
      <c r="A3">
        <v>1</v>
      </c>
      <c r="B3">
        <v>200</v>
      </c>
      <c r="C3">
        <v>600</v>
      </c>
      <c r="D3">
        <f>(C4-C3)/(B4-B3)</f>
        <v>0</v>
      </c>
      <c r="E3" s="9"/>
      <c r="F3" s="9"/>
      <c r="G3" s="9"/>
      <c r="H3" s="9"/>
      <c r="I3" s="9"/>
    </row>
    <row r="4" spans="1:9">
      <c r="A4">
        <v>2</v>
      </c>
      <c r="B4">
        <v>600</v>
      </c>
      <c r="C4">
        <v>600</v>
      </c>
      <c r="D4" t="e">
        <f t="shared" si="0"/>
        <v>#DIV/0!</v>
      </c>
      <c r="E4" s="9"/>
      <c r="F4" s="9"/>
      <c r="G4" s="9"/>
      <c r="H4" s="9"/>
      <c r="I4" s="9"/>
    </row>
    <row r="5" spans="1:9">
      <c r="A5">
        <v>3</v>
      </c>
      <c r="B5">
        <v>600</v>
      </c>
      <c r="C5">
        <v>200</v>
      </c>
      <c r="D5">
        <f t="shared" si="0"/>
        <v>0</v>
      </c>
      <c r="E5" s="9"/>
      <c r="F5" s="9"/>
      <c r="G5" s="9"/>
      <c r="H5" s="9"/>
      <c r="I5" s="9"/>
    </row>
    <row r="6" spans="1:9">
      <c r="A6">
        <v>4</v>
      </c>
      <c r="B6">
        <f>B2</f>
        <v>200</v>
      </c>
      <c r="C6">
        <f>C2</f>
        <v>200</v>
      </c>
      <c r="D6">
        <f t="shared" si="0"/>
        <v>1</v>
      </c>
      <c r="E6" s="9"/>
      <c r="F6" s="9">
        <v>0</v>
      </c>
      <c r="G6" s="9"/>
      <c r="H6" s="9"/>
      <c r="I6" s="9"/>
    </row>
    <row r="7" spans="1:9">
      <c r="A7">
        <v>5</v>
      </c>
      <c r="E7" s="9"/>
      <c r="F7" s="9">
        <v>2</v>
      </c>
      <c r="G7" s="9"/>
      <c r="H7" s="9"/>
      <c r="I7" s="9"/>
    </row>
    <row r="8" spans="1:9">
      <c r="E8" s="9"/>
      <c r="F8" s="9">
        <v>2</v>
      </c>
      <c r="G8" s="9"/>
      <c r="H8" s="9"/>
      <c r="I8" s="9"/>
    </row>
    <row r="9" spans="1:9">
      <c r="F9" s="9">
        <v>0</v>
      </c>
    </row>
    <row r="19" spans="1:9">
      <c r="A19" t="s">
        <v>3</v>
      </c>
      <c r="B19">
        <f>MIN(B2:B7)</f>
        <v>200</v>
      </c>
      <c r="C19">
        <f>MIN(C2:C7)</f>
        <v>200</v>
      </c>
      <c r="E19" s="9"/>
      <c r="F19" s="9"/>
      <c r="G19" s="9"/>
      <c r="H19" s="9"/>
      <c r="I19" s="9"/>
    </row>
    <row r="20" spans="1:9">
      <c r="A20" t="s">
        <v>2</v>
      </c>
      <c r="B20">
        <f>MAX(B2:B7)</f>
        <v>600</v>
      </c>
      <c r="C20">
        <f>MAX(C2:C7)</f>
        <v>600</v>
      </c>
      <c r="E20" s="9"/>
      <c r="F20" s="9"/>
      <c r="G20" s="9"/>
      <c r="H20" s="9"/>
      <c r="I20" s="9"/>
    </row>
    <row r="21" spans="1:9">
      <c r="E21" s="9"/>
      <c r="F21" s="9"/>
      <c r="G21" s="9"/>
      <c r="H21" s="9"/>
      <c r="I21" s="9"/>
    </row>
    <row r="22" spans="1:9">
      <c r="B22" s="9" t="s">
        <v>0</v>
      </c>
      <c r="C22" s="9" t="s">
        <v>1</v>
      </c>
      <c r="D22" s="9" t="s">
        <v>9</v>
      </c>
      <c r="E22" s="9"/>
      <c r="G22" s="9" t="s">
        <v>0</v>
      </c>
      <c r="H22" s="9" t="s">
        <v>1</v>
      </c>
      <c r="I22" s="9" t="s">
        <v>9</v>
      </c>
    </row>
    <row r="23" spans="1:9">
      <c r="A23" t="s">
        <v>10</v>
      </c>
      <c r="B23" s="10">
        <v>365</v>
      </c>
      <c r="C23" s="10" t="e">
        <f>D2*(B23-B2)+C2</f>
        <v>#DIV/0!</v>
      </c>
      <c r="D23" s="10" t="e">
        <f>D2</f>
        <v>#DIV/0!</v>
      </c>
      <c r="E23" s="9"/>
      <c r="F23" t="s">
        <v>23</v>
      </c>
      <c r="G23" s="3">
        <v>365</v>
      </c>
      <c r="H23" s="3">
        <f>D3*(G23-B3)+C3</f>
        <v>600</v>
      </c>
      <c r="I23" s="3">
        <f>I2</f>
        <v>0</v>
      </c>
    </row>
    <row r="24" spans="1:9">
      <c r="A24">
        <v>0</v>
      </c>
      <c r="B24" s="10">
        <f>B23</f>
        <v>365</v>
      </c>
      <c r="C24" s="10" t="e">
        <f>C25</f>
        <v>#DIV/0!</v>
      </c>
      <c r="D24" s="10"/>
      <c r="E24" s="9"/>
      <c r="G24" s="3">
        <f>G23</f>
        <v>365</v>
      </c>
      <c r="H24" s="3">
        <f>H25</f>
        <v>200</v>
      </c>
      <c r="I24" s="3"/>
    </row>
    <row r="25" spans="1:9">
      <c r="A25" t="s">
        <v>11</v>
      </c>
      <c r="B25" s="10">
        <v>452</v>
      </c>
      <c r="C25" s="10" t="e">
        <f>D4*(B25-B4)+C4</f>
        <v>#DIV/0!</v>
      </c>
      <c r="D25" s="10" t="e">
        <f>D4</f>
        <v>#DIV/0!</v>
      </c>
      <c r="E25" s="9"/>
      <c r="F25" t="s">
        <v>24</v>
      </c>
      <c r="G25" s="3">
        <v>452</v>
      </c>
      <c r="H25" s="3">
        <f>D5*(G25-B5)+C5</f>
        <v>200</v>
      </c>
      <c r="I25" s="3">
        <f>I4</f>
        <v>0</v>
      </c>
    </row>
    <row r="26" spans="1:9">
      <c r="A26">
        <v>1</v>
      </c>
      <c r="B26" s="10">
        <f>B25</f>
        <v>452</v>
      </c>
      <c r="C26" s="10" t="e">
        <f>C23</f>
        <v>#DIV/0!</v>
      </c>
      <c r="D26" s="10"/>
      <c r="E26" s="9"/>
      <c r="G26" s="3">
        <f>G25</f>
        <v>452</v>
      </c>
      <c r="H26" s="3">
        <f>H23</f>
        <v>600</v>
      </c>
      <c r="I26" s="3"/>
    </row>
    <row r="27" spans="1:9">
      <c r="B27" s="10">
        <f>B23</f>
        <v>365</v>
      </c>
      <c r="C27" s="10" t="e">
        <f>C23</f>
        <v>#DIV/0!</v>
      </c>
      <c r="D27" s="10"/>
      <c r="E27" s="9"/>
      <c r="G27" s="3">
        <f>G23</f>
        <v>365</v>
      </c>
      <c r="H27" s="3">
        <f>H23</f>
        <v>600</v>
      </c>
      <c r="I27" s="3"/>
    </row>
    <row r="28" spans="1:9">
      <c r="E28" s="9"/>
      <c r="F28" s="9"/>
      <c r="G28" s="9"/>
      <c r="H28" s="9"/>
      <c r="I28" s="9"/>
    </row>
    <row r="29" spans="1:9">
      <c r="A29" t="s">
        <v>19</v>
      </c>
      <c r="B29" s="9">
        <f>B30-50</f>
        <v>315</v>
      </c>
      <c r="C29" s="9" t="e">
        <f>$D$2*(B29-$B$2)+$C$2</f>
        <v>#DIV/0!</v>
      </c>
      <c r="D29" s="9"/>
      <c r="E29" s="9"/>
      <c r="F29" t="s">
        <v>20</v>
      </c>
      <c r="G29" s="9">
        <f>G30-50</f>
        <v>315</v>
      </c>
      <c r="H29" s="9">
        <f>$D$3*(G29-$B$3)+$C$3</f>
        <v>600</v>
      </c>
      <c r="I29" s="9"/>
    </row>
    <row r="30" spans="1:9">
      <c r="B30">
        <f>B23</f>
        <v>365</v>
      </c>
      <c r="C30" s="9" t="e">
        <f>$D$2*(B30-$B$2)+$C$2</f>
        <v>#DIV/0!</v>
      </c>
      <c r="D30" s="9"/>
      <c r="E30" s="9"/>
      <c r="G30">
        <f>G23</f>
        <v>365</v>
      </c>
      <c r="H30" s="9">
        <f t="shared" ref="H30:H31" si="1">$D$3*(G30-$B$3)+$C$3</f>
        <v>600</v>
      </c>
      <c r="I30" s="9"/>
    </row>
    <row r="31" spans="1:9">
      <c r="B31" s="9">
        <f>B30+50</f>
        <v>415</v>
      </c>
      <c r="C31" s="9" t="e">
        <f>$D$2*(B31-$B$2)+$C$2</f>
        <v>#DIV/0!</v>
      </c>
      <c r="E31" s="9"/>
      <c r="G31" s="9">
        <f>G30+50</f>
        <v>415</v>
      </c>
      <c r="H31" s="9">
        <f t="shared" si="1"/>
        <v>600</v>
      </c>
      <c r="I31" s="9"/>
    </row>
    <row r="32" spans="1:9">
      <c r="A32" t="s">
        <v>21</v>
      </c>
      <c r="B32" s="9">
        <f>B33-50</f>
        <v>402</v>
      </c>
      <c r="C32" s="9" t="e">
        <f>$D$4*(B32-$B$4)+$C$4</f>
        <v>#DIV/0!</v>
      </c>
      <c r="D32" s="9"/>
      <c r="E32" s="9"/>
      <c r="F32" t="s">
        <v>22</v>
      </c>
      <c r="G32" s="9">
        <f>G33-50</f>
        <v>402</v>
      </c>
      <c r="H32" s="9">
        <f>$D$5*(G32-$B$5)+$C$5</f>
        <v>200</v>
      </c>
      <c r="I32" s="9"/>
    </row>
    <row r="33" spans="2:9">
      <c r="B33">
        <f>B25</f>
        <v>452</v>
      </c>
      <c r="C33" s="9" t="e">
        <f t="shared" ref="C33:C34" si="2">$D$4*(B33-$B$4)+$C$4</f>
        <v>#DIV/0!</v>
      </c>
      <c r="D33" s="9"/>
      <c r="E33" s="9"/>
      <c r="F33" s="4"/>
      <c r="G33">
        <f>G26</f>
        <v>452</v>
      </c>
      <c r="H33" s="9">
        <f t="shared" ref="H33:H34" si="3">$D$5*(G33-$B$5)+$C$5</f>
        <v>200</v>
      </c>
      <c r="I33" s="9"/>
    </row>
    <row r="34" spans="2:9">
      <c r="B34" s="9">
        <f>B33+50</f>
        <v>502</v>
      </c>
      <c r="C34" s="9" t="e">
        <f t="shared" si="2"/>
        <v>#DIV/0!</v>
      </c>
      <c r="D34" s="9"/>
      <c r="E34" s="9"/>
      <c r="G34" s="9">
        <f t="shared" ref="G34" si="4">G33+50</f>
        <v>502</v>
      </c>
      <c r="H34" s="9">
        <f t="shared" si="3"/>
        <v>200</v>
      </c>
      <c r="I3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G39" sqref="G39"/>
    </sheetView>
  </sheetViews>
  <sheetFormatPr defaultRowHeight="15"/>
  <cols>
    <col min="2" max="2" width="5.42578125" customWidth="1"/>
    <col min="3" max="3" width="6" customWidth="1"/>
  </cols>
  <sheetData>
    <row r="1" spans="1:15" ht="15.75" thickBot="1">
      <c r="A1" s="2" t="s">
        <v>4</v>
      </c>
      <c r="B1" t="s">
        <v>0</v>
      </c>
      <c r="C1" t="s">
        <v>1</v>
      </c>
      <c r="E1" s="2"/>
      <c r="G1" s="2"/>
    </row>
    <row r="2" spans="1:15">
      <c r="A2">
        <v>0</v>
      </c>
      <c r="B2">
        <v>400</v>
      </c>
      <c r="C2">
        <v>100</v>
      </c>
      <c r="D2">
        <f t="shared" ref="D2:D6" si="0">(C3-C2)/(B3-B2)</f>
        <v>-1.5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>
        <v>1</v>
      </c>
      <c r="B3">
        <v>200</v>
      </c>
      <c r="C3">
        <v>400</v>
      </c>
      <c r="D3">
        <f>(C4-C3)/(B4-B3)</f>
        <v>1.5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>
        <v>2</v>
      </c>
      <c r="B4">
        <v>400</v>
      </c>
      <c r="C4">
        <v>700</v>
      </c>
      <c r="D4">
        <f t="shared" si="0"/>
        <v>-1.5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>
        <v>3</v>
      </c>
      <c r="B5">
        <v>600</v>
      </c>
      <c r="C5">
        <v>400</v>
      </c>
      <c r="D5">
        <f t="shared" si="0"/>
        <v>1.5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>
        <v>4</v>
      </c>
      <c r="B6">
        <f>B2</f>
        <v>400</v>
      </c>
      <c r="C6">
        <f>C2</f>
        <v>100</v>
      </c>
      <c r="D6">
        <f t="shared" si="0"/>
        <v>0.25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>
        <v>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J9" s="9"/>
      <c r="K9" s="9"/>
      <c r="L9" s="9"/>
      <c r="M9" s="9"/>
      <c r="N9" s="9"/>
      <c r="O9" s="9"/>
    </row>
    <row r="10" spans="1:15">
      <c r="J10" s="9"/>
      <c r="K10" s="9"/>
      <c r="L10" s="9"/>
      <c r="M10" s="9"/>
      <c r="N10" s="9"/>
      <c r="O10" s="9"/>
    </row>
    <row r="11" spans="1:15">
      <c r="J11" s="9"/>
      <c r="K11" s="9"/>
      <c r="L11" s="9"/>
      <c r="M11" s="9"/>
      <c r="N11" s="9"/>
      <c r="O11" s="9"/>
    </row>
    <row r="12" spans="1:15">
      <c r="J12" s="9"/>
      <c r="K12" s="9"/>
      <c r="L12" s="9"/>
      <c r="M12" s="9"/>
      <c r="N12" s="9"/>
      <c r="O12" s="9"/>
    </row>
    <row r="13" spans="1:15">
      <c r="J13" s="9"/>
      <c r="K13" s="9"/>
      <c r="L13" s="9"/>
      <c r="M13" s="9"/>
      <c r="N13" s="9"/>
      <c r="O13" s="9"/>
    </row>
    <row r="14" spans="1:15">
      <c r="J14" s="9"/>
      <c r="K14" s="9"/>
      <c r="L14" s="9"/>
      <c r="M14" s="9"/>
      <c r="N14" s="9"/>
      <c r="O14" s="9"/>
    </row>
    <row r="15" spans="1:15">
      <c r="J15" s="9"/>
      <c r="K15" s="9"/>
      <c r="L15" s="9"/>
      <c r="M15" s="9"/>
      <c r="N15" s="9"/>
      <c r="O15" s="9"/>
    </row>
    <row r="16" spans="1:15">
      <c r="J16" s="9"/>
      <c r="K16" s="9"/>
      <c r="L16" s="9"/>
      <c r="M16" s="9"/>
      <c r="N16" s="9"/>
      <c r="O16" s="9"/>
    </row>
    <row r="17" spans="1:15">
      <c r="J17" s="9"/>
      <c r="K17" s="9"/>
      <c r="L17" s="9"/>
      <c r="M17" s="9"/>
      <c r="N17" s="9"/>
      <c r="O17" s="9"/>
    </row>
    <row r="18" spans="1:15">
      <c r="J18" s="9"/>
      <c r="K18" s="9"/>
      <c r="L18" s="9"/>
      <c r="M18" s="9"/>
      <c r="N18" s="9"/>
      <c r="O18" s="9"/>
    </row>
    <row r="19" spans="1:15">
      <c r="A19" t="s">
        <v>3</v>
      </c>
      <c r="B19">
        <f>MIN(B2:B7)</f>
        <v>200</v>
      </c>
      <c r="C19">
        <f>MIN(C2:C7)</f>
        <v>100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t="s">
        <v>2</v>
      </c>
      <c r="B20">
        <f>MAX(B2:B7)</f>
        <v>600</v>
      </c>
      <c r="C20">
        <f>MAX(C2:C7)</f>
        <v>700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B22" s="9" t="s">
        <v>0</v>
      </c>
      <c r="C22" s="9" t="s">
        <v>1</v>
      </c>
      <c r="D22" s="9" t="s">
        <v>9</v>
      </c>
      <c r="E22" s="9"/>
      <c r="G22" s="9" t="s">
        <v>0</v>
      </c>
      <c r="H22" s="9" t="s">
        <v>1</v>
      </c>
      <c r="I22" s="9" t="s">
        <v>9</v>
      </c>
      <c r="J22" s="9"/>
      <c r="K22" s="9"/>
      <c r="L22" s="9"/>
      <c r="M22" s="9"/>
      <c r="N22" s="9"/>
      <c r="O22" s="9"/>
    </row>
    <row r="23" spans="1:15">
      <c r="A23" t="s">
        <v>10</v>
      </c>
      <c r="B23" s="10">
        <v>365</v>
      </c>
      <c r="C23" s="10">
        <f>D2*(B23-B2)+C2</f>
        <v>152.5</v>
      </c>
      <c r="D23" s="10">
        <f>D2</f>
        <v>-1.5</v>
      </c>
      <c r="E23" s="9"/>
      <c r="F23" t="s">
        <v>23</v>
      </c>
      <c r="G23" s="3">
        <v>365</v>
      </c>
      <c r="H23" s="3">
        <f>D3*(G23-B3)+C3</f>
        <v>647.5</v>
      </c>
      <c r="I23" s="3">
        <f>I2</f>
        <v>0</v>
      </c>
      <c r="J23" s="9"/>
      <c r="K23" s="9"/>
      <c r="L23" s="9"/>
      <c r="M23" s="9"/>
      <c r="N23" s="9"/>
      <c r="O23" s="9"/>
    </row>
    <row r="24" spans="1:15">
      <c r="A24">
        <v>0</v>
      </c>
      <c r="B24" s="10">
        <f>B23</f>
        <v>365</v>
      </c>
      <c r="C24" s="10">
        <f>C25</f>
        <v>622</v>
      </c>
      <c r="D24" s="10"/>
      <c r="E24" s="9"/>
      <c r="G24" s="3">
        <f>G23</f>
        <v>365</v>
      </c>
      <c r="H24" s="3">
        <f>H25</f>
        <v>178</v>
      </c>
      <c r="I24" s="3"/>
      <c r="J24" s="9"/>
      <c r="K24" s="9"/>
      <c r="L24" s="9"/>
      <c r="M24" s="9"/>
      <c r="N24" s="9"/>
      <c r="O24" s="9"/>
    </row>
    <row r="25" spans="1:15">
      <c r="A25" t="s">
        <v>11</v>
      </c>
      <c r="B25" s="10">
        <v>452</v>
      </c>
      <c r="C25" s="10">
        <f>D4*(B25-B4)+C4</f>
        <v>622</v>
      </c>
      <c r="D25" s="10">
        <f>D4</f>
        <v>-1.5</v>
      </c>
      <c r="E25" s="9"/>
      <c r="F25" t="s">
        <v>24</v>
      </c>
      <c r="G25" s="3">
        <v>452</v>
      </c>
      <c r="H25" s="3">
        <f>D5*(G25-B5)+C5</f>
        <v>178</v>
      </c>
      <c r="I25" s="3">
        <f>I4</f>
        <v>0</v>
      </c>
      <c r="J25" s="9"/>
      <c r="K25" s="9"/>
      <c r="L25" s="9"/>
      <c r="M25" s="9"/>
      <c r="N25" s="9"/>
      <c r="O25" s="9"/>
    </row>
    <row r="26" spans="1:15">
      <c r="A26">
        <v>1</v>
      </c>
      <c r="B26" s="10">
        <f>B25</f>
        <v>452</v>
      </c>
      <c r="C26" s="10">
        <f>C23</f>
        <v>152.5</v>
      </c>
      <c r="D26" s="10"/>
      <c r="E26" s="9"/>
      <c r="G26" s="3">
        <f>G25</f>
        <v>452</v>
      </c>
      <c r="H26" s="3">
        <f>H23</f>
        <v>647.5</v>
      </c>
      <c r="I26" s="3"/>
      <c r="J26" s="9"/>
      <c r="K26" s="9"/>
      <c r="L26" s="9"/>
      <c r="M26" s="9"/>
      <c r="N26" s="9"/>
      <c r="O26" s="9"/>
    </row>
    <row r="27" spans="1:15">
      <c r="B27" s="10">
        <f>B23</f>
        <v>365</v>
      </c>
      <c r="C27" s="10">
        <f>C23</f>
        <v>152.5</v>
      </c>
      <c r="D27" s="10"/>
      <c r="E27" s="9"/>
      <c r="G27" s="3">
        <f>G23</f>
        <v>365</v>
      </c>
      <c r="H27" s="3">
        <f>H23</f>
        <v>647.5</v>
      </c>
      <c r="I27" s="3"/>
      <c r="J27" s="9"/>
      <c r="K27" s="9"/>
      <c r="L27" s="9"/>
      <c r="M27" s="9"/>
      <c r="N27" s="9"/>
      <c r="O27" s="9"/>
    </row>
    <row r="28" spans="1:15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t="s">
        <v>19</v>
      </c>
      <c r="B29" s="9">
        <f>B30-50</f>
        <v>315</v>
      </c>
      <c r="C29" s="9">
        <f>$D$2*(B29-$B$2)+$C$2</f>
        <v>227.5</v>
      </c>
      <c r="D29" s="9"/>
      <c r="E29" s="9"/>
      <c r="F29" t="s">
        <v>20</v>
      </c>
      <c r="G29" s="9">
        <f>G30-50</f>
        <v>315</v>
      </c>
      <c r="H29" s="9">
        <f>$D$3*(G29-$B$3)+$C$3</f>
        <v>572.5</v>
      </c>
      <c r="I29" s="9"/>
      <c r="J29" s="9"/>
      <c r="K29" s="9"/>
      <c r="L29" s="9"/>
      <c r="M29" s="9"/>
      <c r="N29" s="9"/>
      <c r="O29" s="9"/>
    </row>
    <row r="30" spans="1:15">
      <c r="B30">
        <f>B23</f>
        <v>365</v>
      </c>
      <c r="C30" s="9">
        <f>$D$2*(B30-$B$2)+$C$2</f>
        <v>152.5</v>
      </c>
      <c r="D30" s="9"/>
      <c r="E30" s="9"/>
      <c r="G30">
        <f>G23</f>
        <v>365</v>
      </c>
      <c r="H30" s="9">
        <f t="shared" ref="H30:H31" si="1">$D$3*(G30-$B$3)+$C$3</f>
        <v>647.5</v>
      </c>
      <c r="I30" s="9"/>
      <c r="J30" s="9"/>
      <c r="K30" s="9"/>
      <c r="L30" s="9"/>
      <c r="M30" s="9"/>
      <c r="N30" s="9"/>
      <c r="O30" s="9"/>
    </row>
    <row r="31" spans="1:15">
      <c r="B31" s="9">
        <f>B30+50</f>
        <v>415</v>
      </c>
      <c r="C31" s="9">
        <f>$D$2*(B31-$B$2)+$C$2</f>
        <v>77.5</v>
      </c>
      <c r="E31" s="9"/>
      <c r="G31" s="9">
        <f>G30+50</f>
        <v>415</v>
      </c>
      <c r="H31" s="9">
        <f t="shared" si="1"/>
        <v>722.5</v>
      </c>
      <c r="I31" s="9"/>
      <c r="J31" s="9"/>
      <c r="K31" s="9"/>
      <c r="L31" s="9"/>
      <c r="M31" s="9"/>
      <c r="N31" s="9"/>
      <c r="O31" s="9"/>
    </row>
    <row r="32" spans="1:15">
      <c r="A32" t="s">
        <v>21</v>
      </c>
      <c r="B32" s="9">
        <f>B33-50</f>
        <v>402</v>
      </c>
      <c r="C32" s="9">
        <f>$D$4*(B32-$B$4)+$C$4</f>
        <v>697</v>
      </c>
      <c r="D32" s="9"/>
      <c r="E32" s="9"/>
      <c r="F32" t="s">
        <v>22</v>
      </c>
      <c r="G32" s="9">
        <f>G33-50</f>
        <v>402</v>
      </c>
      <c r="H32" s="9">
        <f>$D$5*(G32-$B$5)+$C$5</f>
        <v>103</v>
      </c>
      <c r="I32" s="9"/>
    </row>
    <row r="33" spans="2:9">
      <c r="B33">
        <f>B25</f>
        <v>452</v>
      </c>
      <c r="C33" s="9">
        <f t="shared" ref="C33:C34" si="2">$D$4*(B33-$B$4)+$C$4</f>
        <v>622</v>
      </c>
      <c r="D33" s="9"/>
      <c r="E33" s="9"/>
      <c r="F33" s="4"/>
      <c r="G33">
        <f>G26</f>
        <v>452</v>
      </c>
      <c r="H33" s="9">
        <f t="shared" ref="H33:H34" si="3">$D$5*(G33-$B$5)+$C$5</f>
        <v>178</v>
      </c>
      <c r="I33" s="9"/>
    </row>
    <row r="34" spans="2:9">
      <c r="B34" s="9">
        <f>B33+50</f>
        <v>502</v>
      </c>
      <c r="C34" s="9">
        <f t="shared" si="2"/>
        <v>547</v>
      </c>
      <c r="D34" s="9"/>
      <c r="E34" s="9"/>
      <c r="G34" s="9">
        <f t="shared" ref="G34" si="4">G33+50</f>
        <v>502</v>
      </c>
      <c r="H34" s="9">
        <f t="shared" si="3"/>
        <v>253</v>
      </c>
      <c r="I34" s="9"/>
    </row>
    <row r="35" spans="2:9">
      <c r="D35" s="9"/>
      <c r="E35" s="9"/>
      <c r="F35" s="9"/>
      <c r="G35" s="9"/>
      <c r="H35" s="9"/>
      <c r="I35" s="9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G4" sqref="G4"/>
    </sheetView>
  </sheetViews>
  <sheetFormatPr defaultRowHeight="15"/>
  <sheetData>
    <row r="2" spans="1:5">
      <c r="B2" t="s">
        <v>0</v>
      </c>
      <c r="C2" t="s">
        <v>1</v>
      </c>
      <c r="D2" t="s">
        <v>16</v>
      </c>
    </row>
    <row r="3" spans="1:5">
      <c r="A3" t="s">
        <v>17</v>
      </c>
      <c r="B3">
        <v>1</v>
      </c>
      <c r="C3">
        <v>2</v>
      </c>
      <c r="D3">
        <v>-1</v>
      </c>
    </row>
    <row r="4" spans="1:5">
      <c r="B4">
        <v>0</v>
      </c>
      <c r="C4">
        <f>D3*(B4-B3)+C3</f>
        <v>3</v>
      </c>
    </row>
    <row r="6" spans="1:5">
      <c r="A6" t="s">
        <v>18</v>
      </c>
      <c r="B6">
        <v>3</v>
      </c>
      <c r="C6">
        <v>2</v>
      </c>
      <c r="D6">
        <v>1</v>
      </c>
    </row>
    <row r="7" spans="1:5">
      <c r="B7">
        <v>2</v>
      </c>
      <c r="C7">
        <f>D6*(B7-B6)+C6</f>
        <v>1</v>
      </c>
    </row>
    <row r="9" spans="1:5">
      <c r="B9">
        <f>(D6*B6-D3*B3+C3-C6)/(D6-D3)</f>
        <v>2</v>
      </c>
      <c r="C9">
        <f>(D3*C6-D6*C3+(B3-B6)*D3*D6)/(D3-D6)</f>
        <v>1</v>
      </c>
    </row>
    <row r="13" spans="1:5">
      <c r="B13">
        <f>D3</f>
        <v>-1</v>
      </c>
      <c r="C13">
        <v>-1</v>
      </c>
    </row>
    <row r="14" spans="1:5">
      <c r="B14">
        <f>D6</f>
        <v>1</v>
      </c>
      <c r="C14">
        <v>-1</v>
      </c>
      <c r="D14" s="8"/>
    </row>
    <row r="16" spans="1:5">
      <c r="B16">
        <f t="array" ref="B16:C17">MINVERSE(B13:C14)</f>
        <v>-0.5</v>
      </c>
      <c r="C16">
        <v>0.5</v>
      </c>
      <c r="E16">
        <f>D3*B3-C3</f>
        <v>-3</v>
      </c>
    </row>
    <row r="17" spans="2:5">
      <c r="B17">
        <v>-0.5</v>
      </c>
      <c r="C17">
        <v>-0.5</v>
      </c>
      <c r="E17">
        <f>D6*B6-C6</f>
        <v>1</v>
      </c>
    </row>
    <row r="19" spans="2:5">
      <c r="C19">
        <f t="array" ref="C19:C20">MMULT(B16:C17,E16:E17)</f>
        <v>2</v>
      </c>
    </row>
    <row r="20" spans="2:5">
      <c r="C20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9"/>
  <sheetViews>
    <sheetView workbookViewId="0">
      <selection activeCell="A29" sqref="A29:B29"/>
    </sheetView>
  </sheetViews>
  <sheetFormatPr defaultRowHeight="15"/>
  <sheetData>
    <row r="3" spans="1:13">
      <c r="A3">
        <v>0</v>
      </c>
      <c r="B3">
        <v>0</v>
      </c>
      <c r="C3" s="25">
        <v>0.2</v>
      </c>
    </row>
    <row r="4" spans="1:13">
      <c r="A4">
        <v>5</v>
      </c>
      <c r="B4">
        <f>C3*(A4-A3)+B3</f>
        <v>1</v>
      </c>
    </row>
    <row r="5" spans="1:13">
      <c r="A5">
        <v>-3</v>
      </c>
      <c r="B5">
        <v>1</v>
      </c>
      <c r="C5">
        <v>0.5</v>
      </c>
    </row>
    <row r="6" spans="1:13">
      <c r="A6">
        <v>3</v>
      </c>
      <c r="B6">
        <f>C5*(A6-A5)+B5</f>
        <v>4</v>
      </c>
    </row>
    <row r="9" spans="1:13">
      <c r="A9" t="s">
        <v>78</v>
      </c>
    </row>
    <row r="10" spans="1:13">
      <c r="A10" t="s">
        <v>0</v>
      </c>
      <c r="B10" t="s">
        <v>1</v>
      </c>
      <c r="K10" t="s">
        <v>48</v>
      </c>
      <c r="L10" t="s">
        <v>16</v>
      </c>
      <c r="M10" t="s">
        <v>85</v>
      </c>
    </row>
    <row r="11" spans="1:13">
      <c r="A11">
        <f>A4</f>
        <v>5</v>
      </c>
      <c r="B11">
        <f>B4</f>
        <v>1</v>
      </c>
      <c r="C11">
        <v>-0.5</v>
      </c>
      <c r="E11" t="s">
        <v>77</v>
      </c>
      <c r="F11">
        <f>ABS((A11-A12)*(B11-B12))</f>
        <v>8</v>
      </c>
      <c r="H11">
        <f t="shared" ref="H11:H17" si="0">(B12-B11)/(A12-A11)</f>
        <v>-0.5</v>
      </c>
      <c r="K11" t="s">
        <v>79</v>
      </c>
      <c r="L11" s="7" t="s">
        <v>83</v>
      </c>
      <c r="M11" t="s">
        <v>7</v>
      </c>
    </row>
    <row r="12" spans="1:13">
      <c r="A12">
        <f>0.5*(A11+A5+(B11-B5)/C5)</f>
        <v>1</v>
      </c>
      <c r="B12">
        <f>C11*(A12-A11)+B11</f>
        <v>3</v>
      </c>
      <c r="K12" t="s">
        <v>80</v>
      </c>
      <c r="L12" s="7" t="s">
        <v>83</v>
      </c>
      <c r="M12" t="s">
        <v>7</v>
      </c>
    </row>
    <row r="13" spans="1:13">
      <c r="K13" t="s">
        <v>81</v>
      </c>
      <c r="L13" s="7" t="s">
        <v>84</v>
      </c>
      <c r="M13" t="s">
        <v>5</v>
      </c>
    </row>
    <row r="14" spans="1:13">
      <c r="A14">
        <f>A3</f>
        <v>0</v>
      </c>
      <c r="B14">
        <f>B3</f>
        <v>0</v>
      </c>
      <c r="C14">
        <f>-C5</f>
        <v>-0.5</v>
      </c>
      <c r="E14" t="s">
        <v>77</v>
      </c>
      <c r="F14">
        <f>ABS((A15-A14)*(B15-B14))</f>
        <v>3.125</v>
      </c>
      <c r="H14">
        <f t="shared" si="0"/>
        <v>-0.5</v>
      </c>
      <c r="K14" t="s">
        <v>82</v>
      </c>
      <c r="L14" s="7" t="s">
        <v>84</v>
      </c>
      <c r="M14" t="s">
        <v>5</v>
      </c>
    </row>
    <row r="15" spans="1:13">
      <c r="A15">
        <f>0.5*(A14+A5+(B14-B5)/C5)</f>
        <v>-2.5</v>
      </c>
      <c r="B15">
        <f>C14*(A15-A14)+B14</f>
        <v>1.25</v>
      </c>
    </row>
    <row r="17" spans="1:8">
      <c r="A17">
        <f>A5</f>
        <v>-3</v>
      </c>
      <c r="B17">
        <f>B5</f>
        <v>1</v>
      </c>
      <c r="C17">
        <f>-C3</f>
        <v>-0.2</v>
      </c>
      <c r="E17" t="s">
        <v>77</v>
      </c>
      <c r="F17">
        <f>ABS((A18-A17)*(B18-B17))</f>
        <v>3.2</v>
      </c>
      <c r="H17">
        <f t="shared" si="0"/>
        <v>-0.2</v>
      </c>
    </row>
    <row r="18" spans="1:8">
      <c r="A18">
        <f>0.5*(A17+A3+(B17-B3)/C3)</f>
        <v>1</v>
      </c>
      <c r="B18">
        <f>C17*(A18-A17)+B17</f>
        <v>0.19999999999999996</v>
      </c>
    </row>
    <row r="21" spans="1:8">
      <c r="A21">
        <f>A6</f>
        <v>3</v>
      </c>
      <c r="B21">
        <f>B6</f>
        <v>4</v>
      </c>
      <c r="C21">
        <f>-C3</f>
        <v>-0.2</v>
      </c>
      <c r="E21" t="s">
        <v>77</v>
      </c>
      <c r="F21">
        <f>ABS((A22-A21)*(B22-B21))</f>
        <v>14.450000000000001</v>
      </c>
      <c r="H21">
        <f>(B22-B21)/(A22-A21)</f>
        <v>-0.2</v>
      </c>
    </row>
    <row r="22" spans="1:8">
      <c r="A22">
        <f>0.5*(A21+A3+(B21-B3)/C3)</f>
        <v>11.5</v>
      </c>
      <c r="B22">
        <f>C21*(A22-A21)+B21</f>
        <v>2.2999999999999998</v>
      </c>
    </row>
    <row r="25" spans="1:8">
      <c r="A25">
        <v>0</v>
      </c>
      <c r="B25">
        <v>0</v>
      </c>
    </row>
    <row r="26" spans="1:8">
      <c r="A26">
        <v>-3</v>
      </c>
      <c r="B26">
        <v>0</v>
      </c>
    </row>
    <row r="27" spans="1:8">
      <c r="A27">
        <v>-3</v>
      </c>
      <c r="B27">
        <v>1</v>
      </c>
    </row>
    <row r="28" spans="1:8">
      <c r="A28">
        <v>3</v>
      </c>
      <c r="B28">
        <v>4</v>
      </c>
    </row>
    <row r="29" spans="1:8">
      <c r="A29">
        <v>5</v>
      </c>
      <c r="B29">
        <v>1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workbookViewId="0">
      <selection activeCell="E15" sqref="E15:H22"/>
    </sheetView>
  </sheetViews>
  <sheetFormatPr defaultColWidth="9.28515625" defaultRowHeight="15"/>
  <cols>
    <col min="6" max="6" width="10.28515625" bestFit="1" customWidth="1"/>
    <col min="8" max="8" width="10.140625" customWidth="1"/>
    <col min="10" max="10" width="10.42578125" customWidth="1"/>
  </cols>
  <sheetData>
    <row r="1" spans="1:8">
      <c r="A1" t="s">
        <v>118</v>
      </c>
      <c r="B1" s="30" t="s">
        <v>10</v>
      </c>
      <c r="C1" t="s">
        <v>119</v>
      </c>
      <c r="D1" s="30" t="s">
        <v>5</v>
      </c>
      <c r="F1" s="31" t="s">
        <v>120</v>
      </c>
      <c r="H1" s="7" t="s">
        <v>129</v>
      </c>
    </row>
    <row r="2" spans="1:8">
      <c r="A2" t="s">
        <v>118</v>
      </c>
      <c r="B2" s="30" t="s">
        <v>23</v>
      </c>
      <c r="C2" t="s">
        <v>119</v>
      </c>
      <c r="D2" s="30" t="s">
        <v>6</v>
      </c>
      <c r="F2" s="31" t="s">
        <v>121</v>
      </c>
      <c r="H2" t="s">
        <v>124</v>
      </c>
    </row>
    <row r="3" spans="1:8">
      <c r="A3" t="s">
        <v>118</v>
      </c>
      <c r="B3" s="30" t="s">
        <v>11</v>
      </c>
      <c r="C3" t="s">
        <v>119</v>
      </c>
      <c r="D3" s="30" t="s">
        <v>7</v>
      </c>
      <c r="F3" s="31" t="s">
        <v>122</v>
      </c>
      <c r="H3" s="7" t="s">
        <v>130</v>
      </c>
    </row>
    <row r="4" spans="1:8">
      <c r="A4" t="s">
        <v>118</v>
      </c>
      <c r="B4" s="30" t="s">
        <v>24</v>
      </c>
      <c r="C4" t="s">
        <v>119</v>
      </c>
      <c r="D4" s="30" t="s">
        <v>8</v>
      </c>
    </row>
    <row r="5" spans="1:8">
      <c r="H5" t="s">
        <v>123</v>
      </c>
    </row>
    <row r="7" spans="1:8">
      <c r="E7" t="s">
        <v>125</v>
      </c>
      <c r="G7" t="s">
        <v>127</v>
      </c>
    </row>
    <row r="8" spans="1:8">
      <c r="E8" t="s">
        <v>126</v>
      </c>
      <c r="G8" t="s">
        <v>128</v>
      </c>
    </row>
    <row r="11" spans="1:8">
      <c r="A11" t="s">
        <v>131</v>
      </c>
    </row>
    <row r="13" spans="1:8">
      <c r="A13" t="s">
        <v>144</v>
      </c>
    </row>
    <row r="14" spans="1:8">
      <c r="A14" t="s">
        <v>145</v>
      </c>
    </row>
    <row r="15" spans="1:8">
      <c r="A15" t="s">
        <v>146</v>
      </c>
      <c r="E15" t="s">
        <v>132</v>
      </c>
      <c r="F15" t="s">
        <v>133</v>
      </c>
      <c r="G15" t="s">
        <v>134</v>
      </c>
      <c r="H15" t="s">
        <v>138</v>
      </c>
    </row>
    <row r="16" spans="1:8">
      <c r="E16" t="s">
        <v>135</v>
      </c>
      <c r="F16" t="s">
        <v>133</v>
      </c>
      <c r="G16" t="s">
        <v>134</v>
      </c>
      <c r="H16" t="s">
        <v>139</v>
      </c>
    </row>
    <row r="17" spans="5:22">
      <c r="E17" t="s">
        <v>135</v>
      </c>
      <c r="F17" t="s">
        <v>136</v>
      </c>
      <c r="G17" t="s">
        <v>134</v>
      </c>
    </row>
    <row r="18" spans="5:22">
      <c r="E18" t="s">
        <v>132</v>
      </c>
      <c r="F18" t="s">
        <v>136</v>
      </c>
      <c r="G18" t="s">
        <v>134</v>
      </c>
      <c r="H18" t="s">
        <v>140</v>
      </c>
    </row>
    <row r="19" spans="5:22">
      <c r="E19" t="s">
        <v>132</v>
      </c>
      <c r="F19" t="s">
        <v>136</v>
      </c>
      <c r="G19" t="s">
        <v>137</v>
      </c>
      <c r="H19" t="s">
        <v>141</v>
      </c>
    </row>
    <row r="20" spans="5:22">
      <c r="E20" t="s">
        <v>135</v>
      </c>
      <c r="F20" t="s">
        <v>136</v>
      </c>
      <c r="G20" t="s">
        <v>137</v>
      </c>
      <c r="H20" t="s">
        <v>142</v>
      </c>
    </row>
    <row r="21" spans="5:22">
      <c r="E21" t="s">
        <v>135</v>
      </c>
      <c r="F21" t="s">
        <v>133</v>
      </c>
      <c r="G21" t="s">
        <v>137</v>
      </c>
      <c r="H21" t="s">
        <v>143</v>
      </c>
    </row>
    <row r="22" spans="5:22">
      <c r="E22" t="s">
        <v>132</v>
      </c>
      <c r="F22" t="s">
        <v>133</v>
      </c>
      <c r="G22" t="s">
        <v>137</v>
      </c>
    </row>
    <row r="25" spans="5:22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5:22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5:22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5:22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5:22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5:22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5:22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5:22" ht="15" customHeight="1">
      <c r="Q32" s="33"/>
      <c r="R32" s="33"/>
      <c r="S32" s="34"/>
      <c r="T32" s="9"/>
      <c r="U32" s="9"/>
      <c r="V32" s="9"/>
    </row>
    <row r="33" spans="17:22" ht="15" customHeight="1">
      <c r="Q33" s="11"/>
      <c r="R33" s="11"/>
      <c r="S33" s="35"/>
      <c r="T33" s="9"/>
      <c r="U33" s="9"/>
      <c r="V33" s="9"/>
    </row>
    <row r="34" spans="17:22" ht="15" customHeight="1">
      <c r="Q34" s="11"/>
      <c r="R34" s="11"/>
      <c r="S34" s="35"/>
      <c r="T34" s="9"/>
      <c r="U34" s="9"/>
      <c r="V34" s="9"/>
    </row>
    <row r="35" spans="17:22" ht="15" customHeight="1">
      <c r="Q35" s="11"/>
      <c r="R35" s="11"/>
      <c r="S35" s="35"/>
      <c r="T35" s="9"/>
      <c r="U35" s="9"/>
      <c r="V35" s="9"/>
    </row>
    <row r="36" spans="17:22" ht="15" customHeight="1">
      <c r="Q36" s="11"/>
      <c r="R36" s="11"/>
      <c r="S36" s="35"/>
      <c r="T36" s="9"/>
      <c r="U36" s="9"/>
      <c r="V36" s="9"/>
    </row>
    <row r="37" spans="17:22" ht="15" customHeight="1">
      <c r="Q37" s="11"/>
      <c r="R37" s="11"/>
      <c r="S37" s="35"/>
      <c r="T37" s="9"/>
      <c r="U37" s="9"/>
      <c r="V37" s="9"/>
    </row>
    <row r="38" spans="17:22" ht="15" customHeight="1">
      <c r="Q38" s="11"/>
      <c r="R38" s="11"/>
      <c r="S38" s="35"/>
      <c r="T38" s="9"/>
      <c r="U38" s="9"/>
      <c r="V38" s="9"/>
    </row>
    <row r="39" spans="17:22" ht="15" customHeight="1">
      <c r="Q39" s="11"/>
      <c r="R39" s="11"/>
      <c r="S39" s="35"/>
      <c r="T39" s="9"/>
      <c r="U39" s="9"/>
      <c r="V39" s="9"/>
    </row>
    <row r="40" spans="17:22" ht="15" customHeight="1">
      <c r="Q40" s="11"/>
      <c r="R40" s="11"/>
      <c r="S40" s="35"/>
      <c r="T40" s="9"/>
      <c r="U40" s="9"/>
      <c r="V40" s="9"/>
    </row>
    <row r="41" spans="17:22" ht="15" customHeight="1">
      <c r="Q41" s="11"/>
      <c r="R41" s="11"/>
      <c r="S41" s="35"/>
      <c r="T41" s="9"/>
      <c r="U41" s="9"/>
      <c r="V41" s="9"/>
    </row>
    <row r="42" spans="17:22" ht="15" customHeight="1">
      <c r="Q42" s="11"/>
      <c r="R42" s="11"/>
      <c r="S42" s="35"/>
      <c r="T42" s="9"/>
      <c r="U42" s="9"/>
      <c r="V42" s="9"/>
    </row>
    <row r="43" spans="17:22" ht="15" customHeight="1">
      <c r="Q43" s="36"/>
      <c r="R43" s="36"/>
      <c r="S43" s="37"/>
      <c r="T43" s="9"/>
      <c r="U43" s="9"/>
      <c r="V43" s="9"/>
    </row>
    <row r="44" spans="17:22" ht="15" customHeight="1">
      <c r="Q44" s="9"/>
      <c r="R44" s="9"/>
      <c r="S44" s="9"/>
      <c r="T44" s="9"/>
      <c r="U44" s="9"/>
      <c r="V44" s="9"/>
    </row>
    <row r="45" spans="17:22" ht="15" customHeight="1">
      <c r="Q45" s="9"/>
      <c r="R45" s="9"/>
      <c r="S45" s="9"/>
      <c r="T45" s="9"/>
      <c r="U45" s="9"/>
      <c r="V45" s="9"/>
    </row>
    <row r="46" spans="17:22" ht="15" customHeight="1"/>
    <row r="47" spans="17:22" ht="15" customHeight="1"/>
    <row r="48" spans="17:22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workbookViewId="0">
      <selection activeCell="N6" sqref="N6"/>
    </sheetView>
  </sheetViews>
  <sheetFormatPr defaultRowHeight="15"/>
  <cols>
    <col min="1" max="1" width="4.5703125" bestFit="1" customWidth="1"/>
    <col min="2" max="3" width="5.7109375" customWidth="1"/>
    <col min="4" max="4" width="10.7109375" customWidth="1"/>
    <col min="5" max="5" width="5.7109375" customWidth="1"/>
    <col min="8" max="9" width="5.7109375" customWidth="1"/>
    <col min="10" max="10" width="10.7109375" customWidth="1"/>
    <col min="11" max="11" width="1.7109375" customWidth="1"/>
    <col min="12" max="13" width="5.7109375" customWidth="1"/>
    <col min="14" max="14" width="10.7109375" customWidth="1"/>
    <col min="15" max="15" width="1.7109375" customWidth="1"/>
    <col min="16" max="17" width="5.7109375" customWidth="1"/>
    <col min="18" max="18" width="10.7109375" customWidth="1"/>
    <col min="19" max="19" width="1.7109375" customWidth="1"/>
    <col min="20" max="20" width="10.7109375" customWidth="1"/>
    <col min="21" max="21" width="1.7109375" customWidth="1"/>
    <col min="22" max="22" width="10.7109375" customWidth="1"/>
    <col min="23" max="23" width="1.7109375" customWidth="1"/>
    <col min="24" max="26" width="5.7109375" customWidth="1"/>
    <col min="27" max="27" width="1.7109375" customWidth="1"/>
    <col min="28" max="29" width="5.7109375" customWidth="1"/>
    <col min="30" max="30" width="1.7109375" customWidth="1"/>
    <col min="31" max="32" width="5.7109375" customWidth="1"/>
    <col min="33" max="33" width="1.7109375" customWidth="1"/>
    <col min="34" max="35" width="5.7109375" customWidth="1"/>
    <col min="36" max="36" width="1.7109375" customWidth="1"/>
  </cols>
  <sheetData>
    <row r="1" spans="1:41" ht="15.75" thickBot="1">
      <c r="A1" s="32"/>
      <c r="B1" s="32" t="s">
        <v>0</v>
      </c>
      <c r="C1" s="32" t="s">
        <v>1</v>
      </c>
      <c r="D1" s="11" t="s">
        <v>16</v>
      </c>
      <c r="E1" s="32" t="s">
        <v>160</v>
      </c>
      <c r="F1" s="32" t="s">
        <v>161</v>
      </c>
      <c r="G1" s="11"/>
      <c r="H1" s="42" t="s">
        <v>154</v>
      </c>
      <c r="I1" s="42" t="s">
        <v>155</v>
      </c>
      <c r="J1" s="42" t="s">
        <v>150</v>
      </c>
      <c r="K1" s="43"/>
      <c r="L1" s="42" t="s">
        <v>156</v>
      </c>
      <c r="M1" s="42" t="s">
        <v>157</v>
      </c>
      <c r="N1" s="42" t="s">
        <v>151</v>
      </c>
      <c r="O1" s="43"/>
      <c r="P1" s="42" t="s">
        <v>158</v>
      </c>
      <c r="Q1" s="42" t="s">
        <v>159</v>
      </c>
      <c r="R1" s="42" t="s">
        <v>152</v>
      </c>
      <c r="S1" s="43"/>
      <c r="T1" s="42" t="s">
        <v>9</v>
      </c>
      <c r="U1" s="43"/>
      <c r="V1" s="42" t="s">
        <v>153</v>
      </c>
      <c r="W1" s="43"/>
      <c r="X1" s="42" t="s">
        <v>147</v>
      </c>
      <c r="Y1" s="42" t="s">
        <v>148</v>
      </c>
      <c r="Z1" s="42" t="s">
        <v>149</v>
      </c>
      <c r="AA1" s="43"/>
      <c r="AB1" s="42" t="s">
        <v>170</v>
      </c>
      <c r="AC1" s="42"/>
      <c r="AD1" s="43"/>
      <c r="AE1" s="42" t="s">
        <v>171</v>
      </c>
      <c r="AF1" s="42"/>
      <c r="AG1" s="43"/>
      <c r="AH1" s="42" t="s">
        <v>172</v>
      </c>
      <c r="AI1" s="42"/>
      <c r="AJ1" s="43"/>
      <c r="AK1" s="42" t="s">
        <v>162</v>
      </c>
    </row>
    <row r="2" spans="1:41" ht="15.75" thickTop="1">
      <c r="A2" s="32">
        <v>0</v>
      </c>
      <c r="B2" s="32">
        <v>270</v>
      </c>
      <c r="C2" s="32">
        <f t="shared" ref="C2:C7" si="0">400+(400-E2)</f>
        <v>514</v>
      </c>
      <c r="D2" s="32">
        <f t="shared" ref="D2:D7" si="1">(C3-C2)/($B3-$B2)</f>
        <v>-5.5909090909090908</v>
      </c>
      <c r="E2" s="11">
        <v>286</v>
      </c>
      <c r="F2" s="32">
        <f>(E3-E2)/($B3-$B2)</f>
        <v>5.5909090909090908</v>
      </c>
      <c r="G2" s="11"/>
      <c r="H2" s="11">
        <v>314</v>
      </c>
      <c r="I2" s="32">
        <v>268</v>
      </c>
      <c r="J2" s="11">
        <v>-0.14184397163120568</v>
      </c>
      <c r="K2" s="38"/>
      <c r="L2" s="11">
        <v>512</v>
      </c>
      <c r="M2" s="32">
        <v>282</v>
      </c>
      <c r="N2" s="11">
        <v>4.2380952380952381</v>
      </c>
      <c r="O2" s="38"/>
      <c r="P2" s="11">
        <v>485</v>
      </c>
      <c r="Q2" s="32">
        <v>470</v>
      </c>
      <c r="R2" s="32">
        <v>-0.20465116279069767</v>
      </c>
      <c r="S2" s="38"/>
      <c r="T2" s="32">
        <v>0.14387797735924845</v>
      </c>
      <c r="U2" s="39"/>
      <c r="V2">
        <v>1.1812865497076024</v>
      </c>
      <c r="W2" s="38"/>
      <c r="X2" t="str">
        <f>IF(I2&gt;=M2,"T","F")</f>
        <v>F</v>
      </c>
      <c r="Y2" t="str">
        <f>IF(L2&lt;=P2,"T","F")</f>
        <v>F</v>
      </c>
      <c r="Z2" t="str">
        <f>IF(-J2&gt;=-R2,IF(-J2&lt;V2,"h1",IF(V2&lt;-R2,"h0",IF(V2&lt;=-T2,"hT","hF"))),IF(-J2&lt;V2,"&lt;a",IF(V2&lt;-R2,"c&gt;")))</f>
        <v>&lt;a</v>
      </c>
      <c r="AA2" s="38"/>
      <c r="AB2">
        <v>0</v>
      </c>
      <c r="AC2">
        <v>2</v>
      </c>
      <c r="AD2" s="38"/>
      <c r="AE2">
        <v>2</v>
      </c>
      <c r="AF2" s="9">
        <v>4</v>
      </c>
      <c r="AG2" s="38"/>
      <c r="AH2">
        <v>4</v>
      </c>
      <c r="AI2">
        <v>6</v>
      </c>
      <c r="AJ2" s="38"/>
      <c r="AK2" t="str">
        <f t="array" ref="AK2">IF(Z2="&lt;a","&lt;a",IF(Z2="c&gt;","c&gt;",INDEX($A$40:$E$47,MATCH(1,($A$40:$A$47=X2)*($B$40:$B$47=Y2)*IF(OR(Z2="h1",Z2="h0"),($C$40:$C$47=Z2),($D$40:$D$47=Z2)),0),5)))</f>
        <v>&lt;a</v>
      </c>
      <c r="AL2" t="s">
        <v>178</v>
      </c>
    </row>
    <row r="3" spans="1:41">
      <c r="A3" s="32">
        <v>1</v>
      </c>
      <c r="B3" s="32">
        <v>314</v>
      </c>
      <c r="C3" s="32">
        <f t="shared" si="0"/>
        <v>268</v>
      </c>
      <c r="D3" s="32">
        <f t="shared" si="1"/>
        <v>-0.14184397163120568</v>
      </c>
      <c r="E3" s="11">
        <v>532</v>
      </c>
      <c r="F3" s="32">
        <f>(E4-E3)/(B4-B3)</f>
        <v>0.14184397163120568</v>
      </c>
      <c r="G3" s="11"/>
      <c r="H3" s="44">
        <v>314</v>
      </c>
      <c r="I3" s="44">
        <v>268</v>
      </c>
      <c r="J3" s="44">
        <v>-5.5909090909090908</v>
      </c>
      <c r="K3" s="38"/>
      <c r="L3" s="44">
        <v>512</v>
      </c>
      <c r="M3" s="44">
        <v>282</v>
      </c>
      <c r="N3" s="44">
        <v>4.2380952380952381</v>
      </c>
      <c r="O3" s="38"/>
      <c r="P3" s="44">
        <v>485</v>
      </c>
      <c r="Q3" s="44">
        <v>470</v>
      </c>
      <c r="R3" s="44">
        <v>-0.20465116279069767</v>
      </c>
      <c r="S3" s="38"/>
      <c r="T3" s="44">
        <v>2.5271116391738322</v>
      </c>
      <c r="U3" s="39"/>
      <c r="V3" s="41">
        <v>1.1812865497076024</v>
      </c>
      <c r="W3" s="38"/>
      <c r="X3" s="41" t="str">
        <f>IF(I3&gt;=M3,"T","F")</f>
        <v>F</v>
      </c>
      <c r="Y3" s="41" t="str">
        <f>IF(L3&lt;=P3,"T","F")</f>
        <v>F</v>
      </c>
      <c r="Z3" s="41" t="str">
        <f>IF(-J3&gt;=-R3,IF(-J3&lt;V3,"h1",IF(V3&lt;-R3,"h0",IF(V3&lt;=-T3,"hT","hF"))),IF(-J3&lt;V3,"&lt;a",IF(V3&lt;-R3,"c&gt;")))</f>
        <v>hF</v>
      </c>
      <c r="AA3" s="38"/>
      <c r="AB3" s="41">
        <v>0</v>
      </c>
      <c r="AC3" s="40">
        <v>1</v>
      </c>
      <c r="AD3" s="38"/>
      <c r="AE3" s="41">
        <v>2</v>
      </c>
      <c r="AF3" s="41">
        <v>4</v>
      </c>
      <c r="AG3" s="38"/>
      <c r="AH3" s="41">
        <v>4</v>
      </c>
      <c r="AI3" s="41">
        <v>6</v>
      </c>
      <c r="AJ3" s="38"/>
      <c r="AK3" s="41" t="str">
        <f t="array" ref="AK3">IF(Z3="&lt;a","&lt;a",IF(Z3="c&gt;","c&gt;",INDEX($A$40:$E$47,MATCH(1,($A$40:$A$47=X3)*($B$40:$B$47=Y3)*IF(OR(Z3="h1",Z3="h0"),($C$40:$C$47=Z3),($D$40:$D$47=Z3)),0),5)))</f>
        <v>&lt;b</v>
      </c>
      <c r="AL3" t="s">
        <v>175</v>
      </c>
    </row>
    <row r="4" spans="1:41">
      <c r="A4" s="32">
        <v>2</v>
      </c>
      <c r="B4" s="32">
        <v>455</v>
      </c>
      <c r="C4" s="32">
        <f t="shared" si="0"/>
        <v>248</v>
      </c>
      <c r="D4" s="32">
        <f t="shared" si="1"/>
        <v>0.59649122807017541</v>
      </c>
      <c r="E4" s="11">
        <v>552</v>
      </c>
      <c r="F4" s="32">
        <f>(E5-E4)/(B5-B4)</f>
        <v>-0.59649122807017541</v>
      </c>
      <c r="G4" s="11"/>
      <c r="H4" s="11">
        <f t="shared" ref="H2:H17" si="2">$A$14</f>
        <v>314</v>
      </c>
      <c r="I4" s="32">
        <f t="shared" ref="I3:I17" si="3">$B$14</f>
        <v>268</v>
      </c>
      <c r="J4" s="11">
        <f t="shared" ref="J2:J17" si="4">ma</f>
        <v>-5.5909090909090908</v>
      </c>
      <c r="K4" s="38"/>
      <c r="L4" s="11">
        <f t="shared" ref="L2:L17" si="5">$A$19</f>
        <v>455</v>
      </c>
      <c r="M4" s="32">
        <f t="shared" ref="M2:M17" si="6">$B$19</f>
        <v>248</v>
      </c>
      <c r="N4" s="11">
        <f t="shared" ref="N2:N17" si="7">mb</f>
        <v>0.59649122807017541</v>
      </c>
      <c r="O4" s="38"/>
      <c r="P4" s="11">
        <f t="shared" ref="P2:P17" si="8">$A$24</f>
        <v>488.52941176470586</v>
      </c>
      <c r="Q4" s="32">
        <f t="shared" ref="Q2:Q17" si="9">$B$24</f>
        <v>462.72058823529414</v>
      </c>
      <c r="R4" s="32">
        <f t="shared" ref="R2:R17" si="10">mc</f>
        <v>-2.0625</v>
      </c>
      <c r="S4" s="38"/>
      <c r="T4" s="32">
        <f t="shared" ref="T2:T17" si="11">m</f>
        <v>2.4026533702796753</v>
      </c>
      <c r="U4" s="39"/>
      <c r="V4">
        <f t="shared" ref="V2:V17" si="12">mac</f>
        <v>1.1156892483990566</v>
      </c>
      <c r="W4" s="38"/>
      <c r="X4" t="str">
        <f t="shared" ref="X4:X5" si="13">IF(I4&gt;=M4,"T","F")</f>
        <v>T</v>
      </c>
      <c r="Y4" t="str">
        <f t="shared" ref="Y4:Y5" si="14">IF(L4&lt;=P4,"T","F")</f>
        <v>T</v>
      </c>
      <c r="Z4" t="str">
        <f t="shared" ref="Z4:Z5" si="15">IF(-J4&gt;=-R4,IF(-J4&lt;V4,"h1",IF(V4&lt;-R4,"h0",IF(V4&lt;=-T4,"hT","hF"))),IF(-J4&lt;V4,"&lt;a",IF(V4&lt;-R4,"c&gt;")))</f>
        <v>h0</v>
      </c>
      <c r="AA4" s="38"/>
      <c r="AB4">
        <v>0</v>
      </c>
      <c r="AC4">
        <v>1</v>
      </c>
      <c r="AD4" s="38"/>
      <c r="AE4">
        <v>2</v>
      </c>
      <c r="AF4" s="40">
        <v>3</v>
      </c>
      <c r="AG4" s="38"/>
      <c r="AH4">
        <v>4</v>
      </c>
      <c r="AI4">
        <v>6</v>
      </c>
      <c r="AJ4" s="38"/>
      <c r="AK4" t="str">
        <f t="array" ref="AK4">IF(Z4="&lt;a","&lt;a",IF(Z4="c&gt;","c&gt;",INDEX($A$40:$E$47,MATCH(1,($A$40:$A$47=X4)*($B$40:$B$47=Y4)*IF(OR(Z4="h1",Z4="h0"),($C$40:$C$47=Z4),($D$40:$D$47=Z4)),0),5)))</f>
        <v>ccw</v>
      </c>
      <c r="AL4" t="s">
        <v>179</v>
      </c>
      <c r="AN4" t="s">
        <v>180</v>
      </c>
    </row>
    <row r="5" spans="1:41">
      <c r="A5" s="32">
        <v>3</v>
      </c>
      <c r="B5" s="32">
        <v>512</v>
      </c>
      <c r="C5" s="32">
        <f t="shared" si="0"/>
        <v>282</v>
      </c>
      <c r="D5" s="32">
        <f t="shared" si="1"/>
        <v>4.2380952380952381</v>
      </c>
      <c r="E5" s="11">
        <v>518</v>
      </c>
      <c r="F5" s="32">
        <f>(E6-E5)/(B6-B5)</f>
        <v>-4.2380952380952381</v>
      </c>
      <c r="G5" s="11"/>
      <c r="H5" s="44">
        <v>314</v>
      </c>
      <c r="I5" s="44">
        <v>268</v>
      </c>
      <c r="J5" s="44">
        <v>-5.5909090909090908</v>
      </c>
      <c r="K5" s="38"/>
      <c r="L5" s="44">
        <v>488.52941176470586</v>
      </c>
      <c r="M5" s="44">
        <v>268</v>
      </c>
      <c r="N5" s="44">
        <v>0.59649122807017541</v>
      </c>
      <c r="O5" s="38"/>
      <c r="P5" s="44">
        <v>485</v>
      </c>
      <c r="Q5" s="44">
        <v>470</v>
      </c>
      <c r="R5" s="44">
        <v>-0.20465116279069767</v>
      </c>
      <c r="S5" s="38"/>
      <c r="T5" s="44">
        <v>0.72390891897481391</v>
      </c>
      <c r="U5" s="39"/>
      <c r="V5" s="41">
        <v>1.1812865497076024</v>
      </c>
      <c r="W5" s="38"/>
      <c r="X5" s="41" t="str">
        <f t="shared" si="13"/>
        <v>T</v>
      </c>
      <c r="Y5" s="41" t="str">
        <f t="shared" si="14"/>
        <v>F</v>
      </c>
      <c r="Z5" s="41" t="str">
        <f t="shared" si="15"/>
        <v>hF</v>
      </c>
      <c r="AA5" s="38"/>
      <c r="AB5" s="6">
        <v>1</v>
      </c>
      <c r="AC5" s="41">
        <v>1</v>
      </c>
      <c r="AD5" s="38"/>
      <c r="AE5" s="41">
        <v>2</v>
      </c>
      <c r="AF5" s="41">
        <v>3</v>
      </c>
      <c r="AG5" s="38"/>
      <c r="AH5" s="6">
        <v>5</v>
      </c>
      <c r="AI5" s="41">
        <v>6</v>
      </c>
      <c r="AJ5" s="38"/>
      <c r="AK5" s="41" t="str">
        <f t="array" ref="AK5">IF(Z5="&lt;a","&lt;a",IF(Z5="c&gt;","c&gt;",INDEX($A$40:$E$47,MATCH(1,($A$40:$A$47=X5)*($B$40:$B$47=Y5)*IF(OR(Z5="h1",Z5="h0"),($C$40:$C$47=Z5),($D$40:$D$47=Z5)),0),5)))</f>
        <v>a&gt;</v>
      </c>
      <c r="AL5" t="s">
        <v>181</v>
      </c>
    </row>
    <row r="6" spans="1:41">
      <c r="A6" s="32">
        <v>4</v>
      </c>
      <c r="B6" s="32">
        <v>533</v>
      </c>
      <c r="C6" s="32">
        <f t="shared" si="0"/>
        <v>371</v>
      </c>
      <c r="D6" s="32">
        <f t="shared" si="1"/>
        <v>-2.0625</v>
      </c>
      <c r="E6" s="11">
        <v>429</v>
      </c>
      <c r="F6" s="32">
        <f>(E7-E6)/(B7-B6)</f>
        <v>2.0625</v>
      </c>
      <c r="G6" s="11"/>
      <c r="H6" s="11">
        <f t="shared" si="2"/>
        <v>314</v>
      </c>
      <c r="I6" s="32">
        <f>$B$14</f>
        <v>268</v>
      </c>
      <c r="J6" s="11">
        <f t="shared" si="4"/>
        <v>-5.5909090909090908</v>
      </c>
      <c r="K6" s="38"/>
      <c r="L6" s="11">
        <f>$D$19</f>
        <v>488.52941176470586</v>
      </c>
      <c r="M6" s="11">
        <f>$E$19</f>
        <v>268</v>
      </c>
      <c r="N6" s="11">
        <f t="shared" si="7"/>
        <v>0.59649122807017541</v>
      </c>
      <c r="O6" s="38"/>
      <c r="P6" s="11">
        <f t="shared" si="8"/>
        <v>488.52941176470586</v>
      </c>
      <c r="Q6" s="32">
        <f t="shared" si="9"/>
        <v>462.72058823529414</v>
      </c>
      <c r="R6" s="32">
        <f t="shared" si="10"/>
        <v>-2.0625</v>
      </c>
      <c r="S6" s="38"/>
      <c r="T6" s="32">
        <f t="shared" si="11"/>
        <v>2.4026533702796753</v>
      </c>
      <c r="U6" s="39"/>
      <c r="V6">
        <f t="shared" si="12"/>
        <v>1.1156892483990566</v>
      </c>
      <c r="W6" s="38"/>
      <c r="X6" t="str">
        <f t="shared" ref="X4:X15" si="16">IF(I6&gt;=M6,"T","F")</f>
        <v>T</v>
      </c>
      <c r="Y6" t="str">
        <f t="shared" ref="Y4:Y15" si="17">IF(L6&lt;=P6,"T","F")</f>
        <v>T</v>
      </c>
      <c r="Z6" t="str">
        <f t="shared" ref="Z4:Z15" si="18">IF(-J6&gt;=-R6,IF(-J6&lt;V6,"h1",IF(V6&lt;-R6,"h0",IF(V6&lt;=-T6,"hT","hF"))),IF(-J6&lt;V6,"&lt;a",IF(V6&lt;-R6,"c&gt;")))</f>
        <v>h0</v>
      </c>
      <c r="AA6" s="38"/>
      <c r="AB6" s="40">
        <v>1</v>
      </c>
      <c r="AC6">
        <v>1</v>
      </c>
      <c r="AD6" s="38"/>
      <c r="AE6">
        <v>2</v>
      </c>
      <c r="AF6" s="9">
        <v>3</v>
      </c>
      <c r="AG6" s="38"/>
      <c r="AH6" s="45">
        <v>4</v>
      </c>
      <c r="AI6">
        <v>6</v>
      </c>
      <c r="AJ6" s="38"/>
      <c r="AK6" t="str">
        <f t="array" ref="AK6">IF(Z6="&lt;a","&lt;a",IF(Z6="c&gt;","c&gt;",INDEX($A$40:$E$47,MATCH(1,($A$40:$A$47=X6)*($B$40:$B$47=Y6)*IF(OR(Z6="h1",Z6="h0"),($C$40:$C$47=Z6),($D$40:$D$47=Z6)),0),5)))</f>
        <v>ccw</v>
      </c>
      <c r="AL6" t="s">
        <v>176</v>
      </c>
    </row>
    <row r="7" spans="1:41">
      <c r="A7" s="32">
        <v>5</v>
      </c>
      <c r="B7" s="32">
        <v>485</v>
      </c>
      <c r="C7" s="32">
        <f t="shared" si="0"/>
        <v>470</v>
      </c>
      <c r="D7" s="32">
        <f t="shared" si="1"/>
        <v>-0.20465116279069767</v>
      </c>
      <c r="E7" s="11">
        <v>330</v>
      </c>
      <c r="F7" s="32">
        <f>(E8-E7)/(B8-B7)</f>
        <v>0.20465116279069767</v>
      </c>
      <c r="G7" s="11"/>
      <c r="H7" s="44">
        <f t="shared" si="2"/>
        <v>314</v>
      </c>
      <c r="I7" s="44">
        <f t="shared" si="3"/>
        <v>268</v>
      </c>
      <c r="J7" s="44">
        <f t="shared" si="4"/>
        <v>-5.5909090909090908</v>
      </c>
      <c r="K7" s="38"/>
      <c r="L7" s="44">
        <f t="shared" ref="L7:L17" si="19">$D$19</f>
        <v>488.52941176470586</v>
      </c>
      <c r="M7" s="44">
        <f t="shared" ref="M7:M17" si="20">$E$19</f>
        <v>268</v>
      </c>
      <c r="N7" s="44">
        <f t="shared" si="7"/>
        <v>0.59649122807017541</v>
      </c>
      <c r="O7" s="38"/>
      <c r="P7" s="44">
        <f t="shared" si="8"/>
        <v>488.52941176470586</v>
      </c>
      <c r="Q7" s="44">
        <f t="shared" si="9"/>
        <v>462.72058823529414</v>
      </c>
      <c r="R7" s="44">
        <f t="shared" si="10"/>
        <v>-2.0625</v>
      </c>
      <c r="S7" s="38"/>
      <c r="T7" s="44">
        <f t="shared" si="11"/>
        <v>2.4026533702796753</v>
      </c>
      <c r="U7" s="39"/>
      <c r="V7" s="41">
        <f t="shared" si="12"/>
        <v>1.1156892483990566</v>
      </c>
      <c r="W7" s="38"/>
      <c r="X7" s="41" t="str">
        <f t="shared" si="16"/>
        <v>T</v>
      </c>
      <c r="Y7" s="41" t="str">
        <f t="shared" si="17"/>
        <v>T</v>
      </c>
      <c r="Z7" s="41" t="str">
        <f t="shared" si="18"/>
        <v>h0</v>
      </c>
      <c r="AA7" s="38"/>
      <c r="AB7" s="41">
        <v>1</v>
      </c>
      <c r="AC7" s="41">
        <v>1</v>
      </c>
      <c r="AD7" s="38"/>
      <c r="AE7" s="41">
        <v>2</v>
      </c>
      <c r="AF7" s="41">
        <v>3</v>
      </c>
      <c r="AG7" s="38"/>
      <c r="AH7" s="41">
        <v>4</v>
      </c>
      <c r="AI7" s="41">
        <v>6</v>
      </c>
      <c r="AJ7" s="38"/>
      <c r="AK7" s="41" t="str">
        <f t="array" ref="AK7">IF(Z7="&lt;a","&lt;a",IF(Z7="c&gt;","c&gt;",INDEX($A$40:$E$47,MATCH(1,($A$40:$A$47=X7)*($B$40:$B$47=Y7)*IF(OR(Z7="h1",Z7="h0"),($C$40:$C$47=Z7),($D$40:$D$47=Z7)),0),5)))</f>
        <v>ccw</v>
      </c>
      <c r="AL7" t="s">
        <v>177</v>
      </c>
    </row>
    <row r="8" spans="1:41">
      <c r="A8" s="32">
        <v>6</v>
      </c>
      <c r="B8" s="32">
        <f>B2</f>
        <v>270</v>
      </c>
      <c r="C8" s="32">
        <f>C2</f>
        <v>514</v>
      </c>
      <c r="E8" s="11">
        <f>E2</f>
        <v>286</v>
      </c>
      <c r="F8" s="32"/>
      <c r="G8" s="11"/>
      <c r="H8" s="11">
        <f t="shared" si="2"/>
        <v>314</v>
      </c>
      <c r="I8" s="32">
        <f t="shared" si="3"/>
        <v>268</v>
      </c>
      <c r="J8" s="11">
        <f t="shared" si="4"/>
        <v>-5.5909090909090908</v>
      </c>
      <c r="K8" s="38"/>
      <c r="L8" s="11">
        <f t="shared" si="19"/>
        <v>488.52941176470586</v>
      </c>
      <c r="M8" s="11">
        <f t="shared" si="20"/>
        <v>268</v>
      </c>
      <c r="N8" s="11">
        <f t="shared" si="7"/>
        <v>0.59649122807017541</v>
      </c>
      <c r="O8" s="38"/>
      <c r="P8" s="11">
        <f t="shared" si="8"/>
        <v>488.52941176470586</v>
      </c>
      <c r="Q8" s="32">
        <f t="shared" si="9"/>
        <v>462.72058823529414</v>
      </c>
      <c r="R8" s="32">
        <f t="shared" si="10"/>
        <v>-2.0625</v>
      </c>
      <c r="S8" s="38"/>
      <c r="T8" s="32">
        <f t="shared" si="11"/>
        <v>2.4026533702796753</v>
      </c>
      <c r="U8" s="39"/>
      <c r="V8">
        <f t="shared" si="12"/>
        <v>1.1156892483990566</v>
      </c>
      <c r="W8" s="38"/>
      <c r="X8" t="str">
        <f t="shared" si="16"/>
        <v>T</v>
      </c>
      <c r="Y8" t="str">
        <f t="shared" si="17"/>
        <v>T</v>
      </c>
      <c r="Z8" t="str">
        <f t="shared" si="18"/>
        <v>h0</v>
      </c>
      <c r="AA8" s="38"/>
      <c r="AB8">
        <v>1</v>
      </c>
      <c r="AC8">
        <v>1</v>
      </c>
      <c r="AD8" s="38"/>
      <c r="AE8">
        <v>2</v>
      </c>
      <c r="AF8" s="9">
        <v>3</v>
      </c>
      <c r="AG8" s="38"/>
      <c r="AH8">
        <v>4</v>
      </c>
      <c r="AI8">
        <v>6</v>
      </c>
      <c r="AJ8" s="38"/>
      <c r="AK8" t="str">
        <f t="array" ref="AK8">IF(Z8="&lt;a","&lt;a",IF(Z8="c&gt;","c&gt;",INDEX($A$40:$E$47,MATCH(1,($A$40:$A$47=X8)*($B$40:$B$47=Y8)*IF(OR(Z8="h1",Z8="h0"),($C$40:$C$47=Z8),($D$40:$D$47=Z8)),0),5)))</f>
        <v>ccw</v>
      </c>
      <c r="AL8" t="s">
        <v>175</v>
      </c>
    </row>
    <row r="9" spans="1:41">
      <c r="A9" s="32"/>
      <c r="B9" s="32"/>
      <c r="C9" s="32"/>
      <c r="E9" s="32"/>
      <c r="F9" s="32"/>
      <c r="G9" s="11"/>
      <c r="H9" s="44">
        <f t="shared" si="2"/>
        <v>314</v>
      </c>
      <c r="I9" s="44">
        <f t="shared" si="3"/>
        <v>268</v>
      </c>
      <c r="J9" s="44">
        <f t="shared" si="4"/>
        <v>-5.5909090909090908</v>
      </c>
      <c r="K9" s="38"/>
      <c r="L9" s="44">
        <f t="shared" si="19"/>
        <v>488.52941176470586</v>
      </c>
      <c r="M9" s="44">
        <f t="shared" si="20"/>
        <v>268</v>
      </c>
      <c r="N9" s="44">
        <f t="shared" si="7"/>
        <v>0.59649122807017541</v>
      </c>
      <c r="O9" s="38"/>
      <c r="P9" s="44">
        <f t="shared" si="8"/>
        <v>488.52941176470586</v>
      </c>
      <c r="Q9" s="44">
        <f t="shared" si="9"/>
        <v>462.72058823529414</v>
      </c>
      <c r="R9" s="44">
        <f t="shared" si="10"/>
        <v>-2.0625</v>
      </c>
      <c r="S9" s="38"/>
      <c r="T9" s="44">
        <f t="shared" si="11"/>
        <v>2.4026533702796753</v>
      </c>
      <c r="U9" s="39"/>
      <c r="V9" s="41">
        <f t="shared" si="12"/>
        <v>1.1156892483990566</v>
      </c>
      <c r="W9" s="38"/>
      <c r="X9" s="41" t="str">
        <f t="shared" si="16"/>
        <v>T</v>
      </c>
      <c r="Y9" s="41" t="str">
        <f t="shared" si="17"/>
        <v>T</v>
      </c>
      <c r="Z9" s="41" t="str">
        <f t="shared" si="18"/>
        <v>h0</v>
      </c>
      <c r="AA9" s="38"/>
      <c r="AB9" s="41">
        <v>1</v>
      </c>
      <c r="AC9" s="41">
        <v>1</v>
      </c>
      <c r="AD9" s="38"/>
      <c r="AE9" s="41">
        <v>2</v>
      </c>
      <c r="AF9" s="41">
        <v>3</v>
      </c>
      <c r="AG9" s="38"/>
      <c r="AH9" s="41">
        <v>4</v>
      </c>
      <c r="AI9" s="41">
        <v>6</v>
      </c>
      <c r="AJ9" s="38"/>
      <c r="AK9" s="41" t="str">
        <f t="array" ref="AK9">IF(Z9="&lt;a","&lt;a",IF(Z9="c&gt;","c&gt;",INDEX($A$40:$E$47,MATCH(1,($A$40:$A$47=X9)*($B$40:$B$47=Y9)*IF(OR(Z9="h1",Z9="h0"),($C$40:$C$47=Z9),($D$40:$D$47=Z9)),0),5)))</f>
        <v>ccw</v>
      </c>
    </row>
    <row r="10" spans="1:41">
      <c r="A10" s="32"/>
      <c r="B10" s="32"/>
      <c r="C10" s="32"/>
      <c r="E10" s="32"/>
      <c r="F10" s="32"/>
      <c r="G10" s="11"/>
      <c r="H10" s="11">
        <f t="shared" si="2"/>
        <v>314</v>
      </c>
      <c r="I10" s="32">
        <f t="shared" si="3"/>
        <v>268</v>
      </c>
      <c r="J10" s="11">
        <f t="shared" si="4"/>
        <v>-5.5909090909090908</v>
      </c>
      <c r="K10" s="38"/>
      <c r="L10" s="11">
        <f t="shared" si="19"/>
        <v>488.52941176470586</v>
      </c>
      <c r="M10" s="11">
        <f t="shared" si="20"/>
        <v>268</v>
      </c>
      <c r="N10" s="11">
        <f t="shared" si="7"/>
        <v>0.59649122807017541</v>
      </c>
      <c r="O10" s="38"/>
      <c r="P10" s="11">
        <f t="shared" si="8"/>
        <v>488.52941176470586</v>
      </c>
      <c r="Q10" s="32">
        <f t="shared" si="9"/>
        <v>462.72058823529414</v>
      </c>
      <c r="R10" s="32">
        <f t="shared" si="10"/>
        <v>-2.0625</v>
      </c>
      <c r="S10" s="38"/>
      <c r="T10" s="32">
        <f t="shared" si="11"/>
        <v>2.4026533702796753</v>
      </c>
      <c r="U10" s="39"/>
      <c r="V10">
        <f t="shared" si="12"/>
        <v>1.1156892483990566</v>
      </c>
      <c r="W10" s="38"/>
      <c r="X10" t="str">
        <f t="shared" si="16"/>
        <v>T</v>
      </c>
      <c r="Y10" t="str">
        <f t="shared" si="17"/>
        <v>T</v>
      </c>
      <c r="Z10" t="str">
        <f t="shared" si="18"/>
        <v>h0</v>
      </c>
      <c r="AA10" s="38"/>
      <c r="AB10">
        <v>1</v>
      </c>
      <c r="AC10">
        <v>1</v>
      </c>
      <c r="AD10" s="38"/>
      <c r="AE10">
        <v>2</v>
      </c>
      <c r="AF10" s="9">
        <v>3</v>
      </c>
      <c r="AG10" s="38"/>
      <c r="AH10">
        <v>4</v>
      </c>
      <c r="AI10">
        <v>6</v>
      </c>
      <c r="AJ10" s="38"/>
      <c r="AK10" t="str">
        <f t="array" ref="AK10">IF(Z10="&lt;a","&lt;a",IF(Z10="c&gt;","c&gt;",INDEX($A$40:$E$47,MATCH(1,($A$40:$A$47=X10)*($B$40:$B$47=Y10)*IF(OR(Z10="h1",Z10="h0"),($C$40:$C$47=Z10),($D$40:$D$47=Z10)),0),5)))</f>
        <v>ccw</v>
      </c>
    </row>
    <row r="11" spans="1:41">
      <c r="A11" s="32"/>
      <c r="B11" s="32"/>
      <c r="C11" s="32"/>
      <c r="E11" s="32"/>
      <c r="G11" s="32"/>
      <c r="H11" s="44">
        <f t="shared" si="2"/>
        <v>314</v>
      </c>
      <c r="I11" s="44">
        <f t="shared" si="3"/>
        <v>268</v>
      </c>
      <c r="J11" s="44">
        <f t="shared" si="4"/>
        <v>-5.5909090909090908</v>
      </c>
      <c r="K11" s="38"/>
      <c r="L11" s="44">
        <f t="shared" si="19"/>
        <v>488.52941176470586</v>
      </c>
      <c r="M11" s="44">
        <f t="shared" si="20"/>
        <v>268</v>
      </c>
      <c r="N11" s="44">
        <f t="shared" si="7"/>
        <v>0.59649122807017541</v>
      </c>
      <c r="O11" s="38"/>
      <c r="P11" s="44">
        <f t="shared" si="8"/>
        <v>488.52941176470586</v>
      </c>
      <c r="Q11" s="44">
        <f t="shared" si="9"/>
        <v>462.72058823529414</v>
      </c>
      <c r="R11" s="44">
        <f t="shared" si="10"/>
        <v>-2.0625</v>
      </c>
      <c r="S11" s="38"/>
      <c r="T11" s="44">
        <f t="shared" si="11"/>
        <v>2.4026533702796753</v>
      </c>
      <c r="U11" s="39"/>
      <c r="V11" s="41">
        <f t="shared" si="12"/>
        <v>1.1156892483990566</v>
      </c>
      <c r="W11" s="38"/>
      <c r="X11" s="41" t="str">
        <f t="shared" si="16"/>
        <v>T</v>
      </c>
      <c r="Y11" s="41" t="str">
        <f t="shared" si="17"/>
        <v>T</v>
      </c>
      <c r="Z11" s="41" t="str">
        <f t="shared" si="18"/>
        <v>h0</v>
      </c>
      <c r="AA11" s="38"/>
      <c r="AB11" s="41">
        <v>1</v>
      </c>
      <c r="AC11" s="41">
        <v>1</v>
      </c>
      <c r="AD11" s="38"/>
      <c r="AE11" s="41">
        <v>2</v>
      </c>
      <c r="AF11" s="41">
        <v>3</v>
      </c>
      <c r="AG11" s="38"/>
      <c r="AH11" s="41">
        <v>4</v>
      </c>
      <c r="AI11" s="41">
        <v>6</v>
      </c>
      <c r="AJ11" s="38"/>
      <c r="AK11" s="41" t="str">
        <f t="array" ref="AK11">IF(Z11="&lt;a","&lt;a",IF(Z11="c&gt;","c&gt;",INDEX($A$40:$E$47,MATCH(1,($A$40:$A$47=X11)*($B$40:$B$47=Y11)*IF(OR(Z11="h1",Z11="h0"),($C$40:$C$47=Z11),($D$40:$D$47=Z11)),0),5)))</f>
        <v>ccw</v>
      </c>
      <c r="AM11" t="s">
        <v>149</v>
      </c>
    </row>
    <row r="12" spans="1:41">
      <c r="A12" s="32" t="s">
        <v>10</v>
      </c>
      <c r="B12" s="32">
        <f>(D2+D2)/2</f>
        <v>-5.5909090909090908</v>
      </c>
      <c r="C12" s="32"/>
      <c r="E12" s="32"/>
      <c r="G12" s="11"/>
      <c r="H12" s="11">
        <f t="shared" si="2"/>
        <v>314</v>
      </c>
      <c r="I12" s="32">
        <f t="shared" si="3"/>
        <v>268</v>
      </c>
      <c r="J12" s="11">
        <f t="shared" si="4"/>
        <v>-5.5909090909090908</v>
      </c>
      <c r="K12" s="38"/>
      <c r="L12" s="11">
        <f t="shared" si="19"/>
        <v>488.52941176470586</v>
      </c>
      <c r="M12" s="11">
        <f t="shared" si="20"/>
        <v>268</v>
      </c>
      <c r="N12" s="11">
        <f t="shared" si="7"/>
        <v>0.59649122807017541</v>
      </c>
      <c r="O12" s="38"/>
      <c r="P12" s="11">
        <f t="shared" si="8"/>
        <v>488.52941176470586</v>
      </c>
      <c r="Q12" s="32">
        <f t="shared" si="9"/>
        <v>462.72058823529414</v>
      </c>
      <c r="R12" s="32">
        <f t="shared" si="10"/>
        <v>-2.0625</v>
      </c>
      <c r="S12" s="38"/>
      <c r="T12" s="32">
        <f t="shared" si="11"/>
        <v>2.4026533702796753</v>
      </c>
      <c r="U12" s="39"/>
      <c r="V12">
        <f t="shared" si="12"/>
        <v>1.1156892483990566</v>
      </c>
      <c r="W12" s="38"/>
      <c r="X12" t="str">
        <f t="shared" si="16"/>
        <v>T</v>
      </c>
      <c r="Y12" t="str">
        <f t="shared" si="17"/>
        <v>T</v>
      </c>
      <c r="Z12" t="str">
        <f t="shared" si="18"/>
        <v>h0</v>
      </c>
      <c r="AA12" s="38"/>
      <c r="AB12">
        <v>1</v>
      </c>
      <c r="AC12">
        <v>1</v>
      </c>
      <c r="AD12" s="38"/>
      <c r="AE12">
        <v>2</v>
      </c>
      <c r="AF12" s="9">
        <v>3</v>
      </c>
      <c r="AG12" s="38"/>
      <c r="AH12">
        <v>4</v>
      </c>
      <c r="AI12">
        <v>6</v>
      </c>
      <c r="AJ12" s="38"/>
      <c r="AK12" t="str">
        <f t="array" ref="AK12">IF(Z12="&lt;a","&lt;a",IF(Z12="c&gt;","c&gt;",INDEX($A$40:$E$47,MATCH(1,($A$40:$A$47=X12)*($B$40:$B$47=Y12)*IF(OR(Z12="h1",Z12="h0"),($C$40:$C$47=Z12),($D$40:$D$47=Z12)),0),5)))</f>
        <v>ccw</v>
      </c>
      <c r="AM12" t="str">
        <f>IF(-ma&gt;=-mc,"TRUE")</f>
        <v>TRUE</v>
      </c>
      <c r="AN12" t="b">
        <f>IF(-ma &lt; mac, "TRUE")</f>
        <v>0</v>
      </c>
      <c r="AO12" t="str">
        <f>IF(mac&lt;-mc,"TRUE")</f>
        <v>TRUE</v>
      </c>
    </row>
    <row r="13" spans="1:41">
      <c r="A13" s="32">
        <f>A14-50</f>
        <v>264</v>
      </c>
      <c r="B13" s="32">
        <f>B12*(A13-A14)+B14</f>
        <v>547.5454545454545</v>
      </c>
      <c r="C13" s="32"/>
      <c r="E13" s="32"/>
      <c r="G13" s="11"/>
      <c r="H13" s="44">
        <f t="shared" si="2"/>
        <v>314</v>
      </c>
      <c r="I13" s="44">
        <f t="shared" si="3"/>
        <v>268</v>
      </c>
      <c r="J13" s="44">
        <f t="shared" si="4"/>
        <v>-5.5909090909090908</v>
      </c>
      <c r="K13" s="38"/>
      <c r="L13" s="44">
        <f t="shared" si="19"/>
        <v>488.52941176470586</v>
      </c>
      <c r="M13" s="44">
        <f t="shared" si="20"/>
        <v>268</v>
      </c>
      <c r="N13" s="44">
        <f t="shared" si="7"/>
        <v>0.59649122807017541</v>
      </c>
      <c r="O13" s="38"/>
      <c r="P13" s="44">
        <f t="shared" si="8"/>
        <v>488.52941176470586</v>
      </c>
      <c r="Q13" s="44">
        <f t="shared" si="9"/>
        <v>462.72058823529414</v>
      </c>
      <c r="R13" s="44">
        <f t="shared" si="10"/>
        <v>-2.0625</v>
      </c>
      <c r="S13" s="38"/>
      <c r="T13" s="44">
        <f t="shared" si="11"/>
        <v>2.4026533702796753</v>
      </c>
      <c r="U13" s="39"/>
      <c r="V13" s="41">
        <f t="shared" si="12"/>
        <v>1.1156892483990566</v>
      </c>
      <c r="W13" s="38"/>
      <c r="X13" s="41" t="str">
        <f t="shared" si="16"/>
        <v>T</v>
      </c>
      <c r="Y13" s="41" t="str">
        <f t="shared" si="17"/>
        <v>T</v>
      </c>
      <c r="Z13" s="41" t="str">
        <f t="shared" si="18"/>
        <v>h0</v>
      </c>
      <c r="AA13" s="38"/>
      <c r="AB13" s="41">
        <v>1</v>
      </c>
      <c r="AC13" s="41">
        <v>1</v>
      </c>
      <c r="AD13" s="38"/>
      <c r="AE13" s="41">
        <v>2</v>
      </c>
      <c r="AF13" s="41">
        <v>3</v>
      </c>
      <c r="AG13" s="38"/>
      <c r="AH13" s="41">
        <v>4</v>
      </c>
      <c r="AI13" s="41">
        <v>6</v>
      </c>
      <c r="AJ13" s="38"/>
      <c r="AK13" s="41" t="str">
        <f t="array" ref="AK13">IF(Z13="&lt;a","&lt;a",IF(Z13="c&gt;","c&gt;",INDEX($A$40:$E$47,MATCH(1,($A$40:$A$47=X13)*($B$40:$B$47=Y13)*IF(OR(Z13="h1",Z13="h0"),($C$40:$C$47=Z13),($D$40:$D$47=Z13)),0),5)))</f>
        <v>ccw</v>
      </c>
      <c r="AM13" t="b">
        <f>IF(-ma&lt;mac, "TRUE")</f>
        <v>0</v>
      </c>
      <c r="AN13" t="str">
        <f>IF(mac&lt;-mc, "TRUE")</f>
        <v>TRUE</v>
      </c>
      <c r="AO13" t="str">
        <f>IF(mac&lt;=m,"TRUE")</f>
        <v>TRUE</v>
      </c>
    </row>
    <row r="14" spans="1:41">
      <c r="A14" s="32">
        <f>B2+(B3-B2)*1</f>
        <v>314</v>
      </c>
      <c r="B14" s="32">
        <f>ma*(A14-B3)+C3</f>
        <v>268</v>
      </c>
      <c r="C14" s="32"/>
      <c r="E14" s="32"/>
      <c r="G14" s="11"/>
      <c r="H14" s="11">
        <f t="shared" si="2"/>
        <v>314</v>
      </c>
      <c r="I14" s="32">
        <f t="shared" si="3"/>
        <v>268</v>
      </c>
      <c r="J14" s="11">
        <f t="shared" si="4"/>
        <v>-5.5909090909090908</v>
      </c>
      <c r="K14" s="38"/>
      <c r="L14" s="11">
        <f t="shared" si="19"/>
        <v>488.52941176470586</v>
      </c>
      <c r="M14" s="11">
        <f t="shared" si="20"/>
        <v>268</v>
      </c>
      <c r="N14" s="11">
        <f t="shared" si="7"/>
        <v>0.59649122807017541</v>
      </c>
      <c r="O14" s="38"/>
      <c r="P14" s="11">
        <f t="shared" si="8"/>
        <v>488.52941176470586</v>
      </c>
      <c r="Q14" s="32">
        <f t="shared" si="9"/>
        <v>462.72058823529414</v>
      </c>
      <c r="R14" s="32">
        <f t="shared" si="10"/>
        <v>-2.0625</v>
      </c>
      <c r="S14" s="38"/>
      <c r="T14" s="32">
        <f t="shared" si="11"/>
        <v>2.4026533702796753</v>
      </c>
      <c r="U14" s="39"/>
      <c r="V14">
        <f t="shared" si="12"/>
        <v>1.1156892483990566</v>
      </c>
      <c r="W14" s="38"/>
      <c r="X14" t="str">
        <f t="shared" si="16"/>
        <v>T</v>
      </c>
      <c r="Y14" t="str">
        <f t="shared" si="17"/>
        <v>T</v>
      </c>
      <c r="Z14" t="str">
        <f t="shared" si="18"/>
        <v>h0</v>
      </c>
      <c r="AA14" s="38"/>
      <c r="AB14">
        <v>1</v>
      </c>
      <c r="AC14">
        <v>1</v>
      </c>
      <c r="AD14" s="38"/>
      <c r="AE14">
        <v>2</v>
      </c>
      <c r="AF14" s="9">
        <v>3</v>
      </c>
      <c r="AG14" s="38"/>
      <c r="AH14">
        <v>4</v>
      </c>
      <c r="AI14">
        <v>6</v>
      </c>
      <c r="AJ14" s="38"/>
      <c r="AK14" t="str">
        <f t="array" ref="AK14">IF(Z14="&lt;a","&lt;a",IF(Z14="c&gt;","c&gt;",INDEX($A$40:$E$47,MATCH(1,($A$40:$A$47=X14)*($B$40:$B$47=Y14)*IF(OR(Z14="h1",Z14="h0"),($C$40:$C$47=Z14),($D$40:$D$47=Z14)),0),5)))</f>
        <v>ccw</v>
      </c>
    </row>
    <row r="15" spans="1:41">
      <c r="A15" s="32">
        <f>A14+50</f>
        <v>364</v>
      </c>
      <c r="B15" s="32">
        <f>B12*(A15-A14)+B14</f>
        <v>-11.545454545454561</v>
      </c>
      <c r="C15" s="32"/>
      <c r="E15" s="32"/>
      <c r="G15" s="32"/>
      <c r="H15" s="44">
        <f t="shared" si="2"/>
        <v>314</v>
      </c>
      <c r="I15" s="44">
        <f t="shared" si="3"/>
        <v>268</v>
      </c>
      <c r="J15" s="44">
        <f t="shared" si="4"/>
        <v>-5.5909090909090908</v>
      </c>
      <c r="K15" s="38"/>
      <c r="L15" s="44">
        <f t="shared" si="19"/>
        <v>488.52941176470586</v>
      </c>
      <c r="M15" s="44">
        <f t="shared" si="20"/>
        <v>268</v>
      </c>
      <c r="N15" s="44">
        <f t="shared" si="7"/>
        <v>0.59649122807017541</v>
      </c>
      <c r="O15" s="38"/>
      <c r="P15" s="44">
        <f t="shared" si="8"/>
        <v>488.52941176470586</v>
      </c>
      <c r="Q15" s="44">
        <f t="shared" si="9"/>
        <v>462.72058823529414</v>
      </c>
      <c r="R15" s="44">
        <f t="shared" si="10"/>
        <v>-2.0625</v>
      </c>
      <c r="S15" s="38"/>
      <c r="T15" s="44">
        <f t="shared" si="11"/>
        <v>2.4026533702796753</v>
      </c>
      <c r="U15" s="39"/>
      <c r="V15" s="41">
        <f t="shared" si="12"/>
        <v>1.1156892483990566</v>
      </c>
      <c r="W15" s="38"/>
      <c r="X15" s="41" t="str">
        <f t="shared" si="16"/>
        <v>T</v>
      </c>
      <c r="Y15" s="41" t="str">
        <f t="shared" si="17"/>
        <v>T</v>
      </c>
      <c r="Z15" s="41" t="str">
        <f t="shared" si="18"/>
        <v>h0</v>
      </c>
      <c r="AA15" s="38"/>
      <c r="AB15" s="41">
        <v>1</v>
      </c>
      <c r="AC15" s="41">
        <v>1</v>
      </c>
      <c r="AD15" s="38"/>
      <c r="AE15" s="41">
        <v>2</v>
      </c>
      <c r="AF15" s="41">
        <v>3</v>
      </c>
      <c r="AG15" s="38"/>
      <c r="AH15" s="41">
        <v>4</v>
      </c>
      <c r="AI15" s="41">
        <v>6</v>
      </c>
      <c r="AJ15" s="38"/>
      <c r="AK15" s="41" t="str">
        <f t="array" ref="AK15">IF(Z15="&lt;a","&lt;a",IF(Z15="c&gt;","c&gt;",INDEX($A$40:$E$47,MATCH(1,($A$40:$A$47=X15)*($B$40:$B$47=Y15)*IF(OR(Z15="h1",Z15="h0"),($C$40:$C$47=Z15),($D$40:$D$47=Z15)),0),5)))</f>
        <v>ccw</v>
      </c>
    </row>
    <row r="16" spans="1:41">
      <c r="A16" s="32"/>
      <c r="B16" s="32"/>
      <c r="C16" s="32"/>
      <c r="E16" s="32"/>
      <c r="G16" s="32"/>
      <c r="H16" s="11">
        <f t="shared" si="2"/>
        <v>314</v>
      </c>
      <c r="I16" s="32">
        <f t="shared" si="3"/>
        <v>268</v>
      </c>
      <c r="J16" s="11">
        <f t="shared" si="4"/>
        <v>-5.5909090909090908</v>
      </c>
      <c r="K16" s="38"/>
      <c r="L16" s="11">
        <f t="shared" si="19"/>
        <v>488.52941176470586</v>
      </c>
      <c r="M16" s="11">
        <f t="shared" si="20"/>
        <v>268</v>
      </c>
      <c r="N16" s="11">
        <f t="shared" si="7"/>
        <v>0.59649122807017541</v>
      </c>
      <c r="O16" s="38"/>
      <c r="P16" s="11">
        <f t="shared" si="8"/>
        <v>488.52941176470586</v>
      </c>
      <c r="Q16" s="32">
        <f t="shared" si="9"/>
        <v>462.72058823529414</v>
      </c>
      <c r="R16" s="32">
        <f t="shared" si="10"/>
        <v>-2.0625</v>
      </c>
      <c r="S16" s="38"/>
      <c r="T16" s="32">
        <f t="shared" si="11"/>
        <v>2.4026533702796753</v>
      </c>
      <c r="U16" s="39"/>
      <c r="V16">
        <f t="shared" si="12"/>
        <v>1.1156892483990566</v>
      </c>
      <c r="W16" s="38"/>
      <c r="X16" t="str">
        <f t="shared" ref="X16:X17" si="21">IF(I16&gt;=M16,"T","F")</f>
        <v>T</v>
      </c>
      <c r="Y16" t="str">
        <f t="shared" ref="Y16:Y17" si="22">IF(L16&lt;=P16,"T","F")</f>
        <v>T</v>
      </c>
      <c r="Z16" t="str">
        <f t="shared" ref="Z16:Z17" si="23">IF(-J16&gt;=-R16,IF(-J16&lt;V16,"h1",IF(V16&lt;-R16,"h0",IF(V16&lt;=-T16,"hT","hF"))),IF(-J16&lt;V16,"&lt;a",IF(V16&lt;-R16,"c&gt;")))</f>
        <v>h0</v>
      </c>
      <c r="AA16" s="38"/>
      <c r="AB16">
        <v>1</v>
      </c>
      <c r="AC16">
        <v>1</v>
      </c>
      <c r="AD16" s="38"/>
      <c r="AE16">
        <v>2</v>
      </c>
      <c r="AF16" s="9">
        <v>3</v>
      </c>
      <c r="AG16" s="38"/>
      <c r="AH16">
        <v>4</v>
      </c>
      <c r="AI16">
        <v>6</v>
      </c>
      <c r="AJ16" s="38"/>
      <c r="AK16" t="str">
        <f t="array" ref="AK16">IF(Z16="&lt;a","&lt;a",IF(Z16="c&gt;","c&gt;",INDEX($A$40:$E$47,MATCH(1,($A$40:$A$47=X16)*($B$40:$B$47=Y16)*IF(OR(Z16="h1",Z16="h0"),($C$40:$C$47=Z16),($D$40:$D$47=Z16)),0),5)))</f>
        <v>ccw</v>
      </c>
    </row>
    <row r="17" spans="1:37">
      <c r="A17" s="32" t="s">
        <v>23</v>
      </c>
      <c r="B17" s="32">
        <f>D4</f>
        <v>0.59649122807017541</v>
      </c>
      <c r="C17" s="32"/>
      <c r="D17" s="32"/>
      <c r="E17" s="32"/>
      <c r="G17" s="32"/>
      <c r="H17" s="44">
        <f t="shared" si="2"/>
        <v>314</v>
      </c>
      <c r="I17" s="44">
        <f t="shared" si="3"/>
        <v>268</v>
      </c>
      <c r="J17" s="44">
        <f t="shared" si="4"/>
        <v>-5.5909090909090908</v>
      </c>
      <c r="K17" s="38"/>
      <c r="L17" s="44">
        <f t="shared" si="19"/>
        <v>488.52941176470586</v>
      </c>
      <c r="M17" s="44">
        <f t="shared" si="20"/>
        <v>268</v>
      </c>
      <c r="N17" s="44">
        <f t="shared" si="7"/>
        <v>0.59649122807017541</v>
      </c>
      <c r="O17" s="38"/>
      <c r="P17" s="44">
        <f t="shared" si="8"/>
        <v>488.52941176470586</v>
      </c>
      <c r="Q17" s="44">
        <f t="shared" si="9"/>
        <v>462.72058823529414</v>
      </c>
      <c r="R17" s="44">
        <f t="shared" si="10"/>
        <v>-2.0625</v>
      </c>
      <c r="S17" s="38"/>
      <c r="T17" s="44">
        <f t="shared" si="11"/>
        <v>2.4026533702796753</v>
      </c>
      <c r="U17" s="39"/>
      <c r="V17" s="41">
        <f t="shared" si="12"/>
        <v>1.1156892483990566</v>
      </c>
      <c r="W17" s="38"/>
      <c r="X17" s="41" t="str">
        <f t="shared" si="21"/>
        <v>T</v>
      </c>
      <c r="Y17" s="41" t="str">
        <f t="shared" si="22"/>
        <v>T</v>
      </c>
      <c r="Z17" s="41" t="str">
        <f t="shared" si="23"/>
        <v>h0</v>
      </c>
      <c r="AA17" s="38"/>
      <c r="AB17" s="41">
        <v>1</v>
      </c>
      <c r="AC17" s="41">
        <v>1</v>
      </c>
      <c r="AD17" s="38"/>
      <c r="AE17" s="41">
        <v>2</v>
      </c>
      <c r="AF17" s="41">
        <v>3</v>
      </c>
      <c r="AG17" s="38"/>
      <c r="AH17" s="41">
        <v>4</v>
      </c>
      <c r="AI17" s="41">
        <v>6</v>
      </c>
      <c r="AJ17" s="38"/>
      <c r="AK17" s="41" t="str">
        <f t="array" ref="AK17">IF(Z17="&lt;a","&lt;a",IF(Z17="c&gt;","c&gt;",INDEX($A$40:$E$47,MATCH(1,($A$40:$A$47=X17)*($B$40:$B$47=Y17)*IF(OR(Z17="h1",Z17="h0"),($C$40:$C$47=Z17),($D$40:$D$47=Z17)),0),5)))</f>
        <v>ccw</v>
      </c>
    </row>
    <row r="18" spans="1:37">
      <c r="A18" s="32">
        <f>A19-50</f>
        <v>405</v>
      </c>
      <c r="B18" s="32">
        <f>B17*(A18-A19)+B19</f>
        <v>218.17543859649123</v>
      </c>
      <c r="C18" s="32"/>
      <c r="D18" s="32">
        <f>D19-50</f>
        <v>438.52941176470586</v>
      </c>
      <c r="E18" s="32">
        <f>B17*(D18-D19)+E19</f>
        <v>238.17543859649123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37">
      <c r="A19" s="32">
        <f>B4+(B5-B4)*0</f>
        <v>455</v>
      </c>
      <c r="B19" s="32">
        <f>mb*(A19-B5)+C5</f>
        <v>248</v>
      </c>
      <c r="C19" s="32"/>
      <c r="D19" s="32">
        <f>(E19-C4)/B17 + B4</f>
        <v>488.52941176470586</v>
      </c>
      <c r="E19" s="32">
        <v>268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37">
      <c r="A20" s="32">
        <f>A19+50</f>
        <v>505</v>
      </c>
      <c r="B20" s="32">
        <f>B17*(A20-A19)+B19</f>
        <v>277.82456140350877</v>
      </c>
      <c r="C20" s="32"/>
      <c r="D20" s="32">
        <f>D19+50</f>
        <v>538.52941176470586</v>
      </c>
      <c r="E20" s="32">
        <f>B17*(D20-D19)+E19</f>
        <v>297.82456140350877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37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37">
      <c r="A22" s="32" t="s">
        <v>11</v>
      </c>
      <c r="B22" s="32">
        <f>D6</f>
        <v>-2.0625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37">
      <c r="A23" s="32">
        <f>A24-50</f>
        <v>438.52941176470586</v>
      </c>
      <c r="B23" s="32">
        <f>B22*(A23-A24)+B24</f>
        <v>565.84558823529414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37">
      <c r="A24" s="32">
        <f>D19</f>
        <v>488.52941176470586</v>
      </c>
      <c r="B24" s="32">
        <f>mc*(A24-B7)+C7</f>
        <v>462.72058823529414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37">
      <c r="A25" s="32">
        <f>A24+50</f>
        <v>538.52941176470586</v>
      </c>
      <c r="B25" s="32">
        <f>B22*(A25-A24)+B24</f>
        <v>359.59558823529414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37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37">
      <c r="A27" s="32" t="s">
        <v>9</v>
      </c>
      <c r="B27" s="32">
        <f>-ma*(mc-mb)/(ma-mb)</f>
        <v>2.4026533702796753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37">
      <c r="A28" t="s">
        <v>153</v>
      </c>
      <c r="B28">
        <f>(B24-B14)/(A24-A14)</f>
        <v>1.1156892483990566</v>
      </c>
    </row>
    <row r="31" spans="1:37">
      <c r="A31" t="s">
        <v>132</v>
      </c>
      <c r="B31" t="s">
        <v>133</v>
      </c>
      <c r="C31" t="s">
        <v>134</v>
      </c>
      <c r="D31" t="s">
        <v>138</v>
      </c>
    </row>
    <row r="32" spans="1:37">
      <c r="A32" t="s">
        <v>135</v>
      </c>
      <c r="B32" t="s">
        <v>133</v>
      </c>
      <c r="C32" t="s">
        <v>134</v>
      </c>
      <c r="D32" t="s">
        <v>139</v>
      </c>
    </row>
    <row r="33" spans="1:5">
      <c r="A33" t="s">
        <v>135</v>
      </c>
      <c r="B33" t="s">
        <v>136</v>
      </c>
      <c r="C33" t="s">
        <v>134</v>
      </c>
    </row>
    <row r="34" spans="1:5">
      <c r="A34" t="s">
        <v>132</v>
      </c>
      <c r="B34" t="s">
        <v>136</v>
      </c>
      <c r="C34" t="s">
        <v>134</v>
      </c>
      <c r="D34" t="s">
        <v>140</v>
      </c>
    </row>
    <row r="35" spans="1:5">
      <c r="A35" t="s">
        <v>132</v>
      </c>
      <c r="B35" t="s">
        <v>136</v>
      </c>
      <c r="C35" t="s">
        <v>137</v>
      </c>
      <c r="D35" t="s">
        <v>141</v>
      </c>
    </row>
    <row r="36" spans="1:5">
      <c r="A36" t="s">
        <v>135</v>
      </c>
      <c r="B36" t="s">
        <v>136</v>
      </c>
      <c r="C36" t="s">
        <v>137</v>
      </c>
      <c r="D36" t="s">
        <v>142</v>
      </c>
    </row>
    <row r="37" spans="1:5">
      <c r="A37" t="s">
        <v>135</v>
      </c>
      <c r="B37" t="s">
        <v>133</v>
      </c>
      <c r="C37" t="s">
        <v>137</v>
      </c>
      <c r="D37" t="s">
        <v>143</v>
      </c>
    </row>
    <row r="38" spans="1:5">
      <c r="A38" t="s">
        <v>132</v>
      </c>
      <c r="B38" t="s">
        <v>133</v>
      </c>
      <c r="C38" t="s">
        <v>137</v>
      </c>
    </row>
    <row r="40" spans="1:5">
      <c r="A40" t="s">
        <v>164</v>
      </c>
      <c r="B40" t="s">
        <v>163</v>
      </c>
      <c r="C40" t="s">
        <v>168</v>
      </c>
      <c r="D40" t="s">
        <v>166</v>
      </c>
      <c r="E40" t="s">
        <v>139</v>
      </c>
    </row>
    <row r="41" spans="1:5">
      <c r="A41" t="s">
        <v>164</v>
      </c>
      <c r="B41" t="s">
        <v>164</v>
      </c>
      <c r="C41" t="s">
        <v>168</v>
      </c>
      <c r="D41" t="s">
        <v>166</v>
      </c>
      <c r="E41" t="s">
        <v>173</v>
      </c>
    </row>
    <row r="42" spans="1:5">
      <c r="A42" t="s">
        <v>164</v>
      </c>
      <c r="B42" t="s">
        <v>163</v>
      </c>
      <c r="C42" t="s">
        <v>169</v>
      </c>
      <c r="D42" t="s">
        <v>167</v>
      </c>
      <c r="E42" t="s">
        <v>143</v>
      </c>
    </row>
    <row r="43" spans="1:5">
      <c r="A43" t="s">
        <v>164</v>
      </c>
      <c r="B43" t="s">
        <v>164</v>
      </c>
      <c r="C43" t="s">
        <v>169</v>
      </c>
      <c r="D43" t="s">
        <v>167</v>
      </c>
      <c r="E43" t="s">
        <v>142</v>
      </c>
    </row>
    <row r="44" spans="1:5">
      <c r="A44" t="s">
        <v>163</v>
      </c>
      <c r="B44" t="s">
        <v>163</v>
      </c>
      <c r="C44" t="s">
        <v>168</v>
      </c>
      <c r="D44" t="s">
        <v>166</v>
      </c>
      <c r="E44" t="s">
        <v>138</v>
      </c>
    </row>
    <row r="45" spans="1:5">
      <c r="A45" t="s">
        <v>163</v>
      </c>
      <c r="B45" t="s">
        <v>164</v>
      </c>
      <c r="C45" t="s">
        <v>168</v>
      </c>
      <c r="D45" t="s">
        <v>166</v>
      </c>
      <c r="E45" t="s">
        <v>140</v>
      </c>
    </row>
    <row r="46" spans="1:5">
      <c r="A46" t="s">
        <v>163</v>
      </c>
      <c r="B46" t="s">
        <v>163</v>
      </c>
      <c r="C46" t="s">
        <v>169</v>
      </c>
      <c r="D46" t="s">
        <v>167</v>
      </c>
      <c r="E46" t="s">
        <v>174</v>
      </c>
    </row>
    <row r="47" spans="1:5">
      <c r="A47" t="s">
        <v>163</v>
      </c>
      <c r="B47" t="s">
        <v>164</v>
      </c>
      <c r="C47" t="s">
        <v>169</v>
      </c>
      <c r="D47" t="s">
        <v>167</v>
      </c>
      <c r="E47" t="s">
        <v>141</v>
      </c>
    </row>
  </sheetData>
  <sortState ref="A40:D47">
    <sortCondition ref="A40"/>
  </sortState>
  <conditionalFormatting sqref="H3:V17">
    <cfRule type="expression" dxfId="2" priority="1">
      <formula>NOT(H3=H2)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workbookViewId="0">
      <selection activeCell="A19" sqref="A19"/>
    </sheetView>
  </sheetViews>
  <sheetFormatPr defaultRowHeight="15"/>
  <cols>
    <col min="1" max="1" width="4.5703125" customWidth="1"/>
    <col min="2" max="3" width="5.7109375" customWidth="1"/>
    <col min="4" max="4" width="6.85546875" customWidth="1"/>
    <col min="5" max="5" width="5.7109375" customWidth="1"/>
    <col min="8" max="9" width="5.7109375" customWidth="1"/>
    <col min="10" max="10" width="10.7109375" customWidth="1"/>
    <col min="11" max="11" width="1.7109375" customWidth="1"/>
    <col min="12" max="13" width="5.7109375" customWidth="1"/>
    <col min="14" max="14" width="10.7109375" customWidth="1"/>
    <col min="15" max="15" width="1.7109375" customWidth="1"/>
    <col min="16" max="17" width="5.7109375" customWidth="1"/>
    <col min="18" max="18" width="10.7109375" customWidth="1"/>
    <col min="19" max="19" width="1.7109375" customWidth="1"/>
    <col min="20" max="20" width="10.7109375" customWidth="1"/>
    <col min="21" max="21" width="1.7109375" customWidth="1"/>
    <col min="22" max="22" width="10.7109375" customWidth="1"/>
    <col min="23" max="23" width="1.7109375" customWidth="1"/>
    <col min="24" max="26" width="5.7109375" customWidth="1"/>
    <col min="27" max="27" width="1.7109375" customWidth="1"/>
    <col min="28" max="29" width="5.7109375" customWidth="1"/>
    <col min="30" max="30" width="1.7109375" customWidth="1"/>
    <col min="31" max="32" width="5.7109375" customWidth="1"/>
    <col min="33" max="33" width="1.7109375" customWidth="1"/>
    <col min="34" max="35" width="5.7109375" customWidth="1"/>
    <col min="36" max="36" width="1.7109375" customWidth="1"/>
  </cols>
  <sheetData>
    <row r="1" spans="1:41" ht="15.75" thickBot="1">
      <c r="A1" s="32"/>
      <c r="B1" s="32" t="s">
        <v>182</v>
      </c>
      <c r="C1" s="32" t="s">
        <v>183</v>
      </c>
      <c r="D1" s="11" t="s">
        <v>184</v>
      </c>
      <c r="G1" s="11"/>
      <c r="H1" s="42" t="s">
        <v>154</v>
      </c>
      <c r="I1" s="42" t="s">
        <v>155</v>
      </c>
      <c r="J1" s="42" t="s">
        <v>150</v>
      </c>
      <c r="K1" s="43"/>
      <c r="L1" s="42" t="s">
        <v>156</v>
      </c>
      <c r="M1" s="42" t="s">
        <v>157</v>
      </c>
      <c r="N1" s="42" t="s">
        <v>151</v>
      </c>
      <c r="O1" s="43"/>
      <c r="P1" s="42" t="s">
        <v>158</v>
      </c>
      <c r="Q1" s="42" t="s">
        <v>159</v>
      </c>
      <c r="R1" s="42" t="s">
        <v>152</v>
      </c>
      <c r="S1" s="43"/>
      <c r="T1" s="42" t="s">
        <v>9</v>
      </c>
      <c r="U1" s="43"/>
      <c r="V1" s="42" t="s">
        <v>153</v>
      </c>
      <c r="W1" s="43"/>
      <c r="X1" s="42" t="s">
        <v>147</v>
      </c>
      <c r="Y1" s="42" t="s">
        <v>148</v>
      </c>
      <c r="Z1" s="42" t="s">
        <v>149</v>
      </c>
      <c r="AA1" s="43"/>
      <c r="AB1" s="42" t="s">
        <v>170</v>
      </c>
      <c r="AC1" s="42"/>
      <c r="AD1" s="43"/>
      <c r="AE1" s="42" t="s">
        <v>171</v>
      </c>
      <c r="AF1" s="42"/>
      <c r="AG1" s="43"/>
      <c r="AH1" s="42" t="s">
        <v>172</v>
      </c>
      <c r="AI1" s="42"/>
      <c r="AJ1" s="43"/>
      <c r="AK1" s="42" t="s">
        <v>162</v>
      </c>
    </row>
    <row r="2" spans="1:41" ht="15.75" thickTop="1">
      <c r="A2" s="32">
        <v>0</v>
      </c>
      <c r="B2" s="32">
        <v>11</v>
      </c>
      <c r="C2" s="32">
        <v>48</v>
      </c>
      <c r="D2" s="32">
        <f t="shared" ref="D2:D7" si="0">(C3-C2)/($B3-$B2)</f>
        <v>-4.2222222222222223</v>
      </c>
      <c r="G2" s="11"/>
      <c r="H2" s="11">
        <f t="shared" ref="H2:H15" si="1">$A$14</f>
        <v>20</v>
      </c>
      <c r="I2" s="32">
        <f t="shared" ref="I2:I15" si="2">$B$14</f>
        <v>10</v>
      </c>
      <c r="J2" s="11">
        <f t="shared" ref="J2:J15" si="3">ma</f>
        <v>-4.2222222222222223</v>
      </c>
      <c r="K2" s="38"/>
      <c r="L2" s="11">
        <f t="shared" ref="L2:L15" si="4">$D$19</f>
        <v>695</v>
      </c>
      <c r="M2" s="11">
        <f t="shared" ref="M2:M15" si="5">$E$19</f>
        <v>268</v>
      </c>
      <c r="N2" s="11">
        <f t="shared" ref="N2:N15" si="6">mb</f>
        <v>0.4</v>
      </c>
      <c r="O2" s="38"/>
      <c r="P2" s="11">
        <f t="shared" ref="P2:P15" si="7">$A$24</f>
        <v>50</v>
      </c>
      <c r="Q2" s="32">
        <f t="shared" ref="Q2:Q15" si="8">$B$24</f>
        <v>40</v>
      </c>
      <c r="R2" s="32">
        <f t="shared" ref="R2:R15" si="9">mc</f>
        <v>-1.5555555555555556</v>
      </c>
      <c r="S2" s="38"/>
      <c r="T2" s="32">
        <f t="shared" ref="T2:T15" si="10">m</f>
        <v>1.7863247863247862</v>
      </c>
      <c r="U2" s="39"/>
      <c r="V2">
        <f t="shared" ref="V2:V15" si="11">mac</f>
        <v>1</v>
      </c>
      <c r="W2" s="38"/>
      <c r="X2" t="str">
        <f t="shared" ref="X2:X15" si="12">IF(I2&gt;=M2,"T","F")</f>
        <v>F</v>
      </c>
      <c r="Y2" t="str">
        <f t="shared" ref="Y2:Y15" si="13">IF(L2&lt;=P2,"T","F")</f>
        <v>F</v>
      </c>
      <c r="Z2" t="str">
        <f t="shared" ref="Z2:Z15" si="14">IF(-J2&gt;=-R2,IF(-J2&lt;V2,"h1",IF(V2&lt;-R2,"h0",IF(V2&lt;=-T2,"hT","hF"))),IF(-J2&lt;V2,"&lt;a",IF(V2&lt;-R2,"c&gt;")))</f>
        <v>h0</v>
      </c>
      <c r="AA2" s="38"/>
      <c r="AB2">
        <v>1</v>
      </c>
      <c r="AC2">
        <v>1</v>
      </c>
      <c r="AD2" s="38"/>
      <c r="AE2">
        <v>2</v>
      </c>
      <c r="AF2" s="9">
        <v>3</v>
      </c>
      <c r="AG2" s="38"/>
      <c r="AH2">
        <v>4</v>
      </c>
      <c r="AI2">
        <v>6</v>
      </c>
      <c r="AJ2" s="38"/>
      <c r="AK2" t="str">
        <f t="array" ref="AK2">IF(Z2="&lt;a","&lt;a",IF(Z2="c&gt;","c&gt;",INDEX($A$40:$E$47,MATCH(1,($A$40:$A$47=X2)*($B$40:$B$47=Y2)*IF(OR(Z2="h1",Z2="h0"),($C$40:$C$47=Z2),($D$40:$D$47=Z2)),0),5)))</f>
        <v>&lt;b</v>
      </c>
      <c r="AL2" t="s">
        <v>178</v>
      </c>
    </row>
    <row r="3" spans="1:41">
      <c r="A3" s="32">
        <v>1</v>
      </c>
      <c r="B3" s="32">
        <v>20</v>
      </c>
      <c r="C3" s="32">
        <v>10</v>
      </c>
      <c r="D3" s="32">
        <f t="shared" si="0"/>
        <v>-0.08</v>
      </c>
      <c r="G3" s="11"/>
      <c r="H3" s="44">
        <f t="shared" si="1"/>
        <v>20</v>
      </c>
      <c r="I3" s="44">
        <f t="shared" si="2"/>
        <v>10</v>
      </c>
      <c r="J3" s="44">
        <f t="shared" si="3"/>
        <v>-4.2222222222222223</v>
      </c>
      <c r="K3" s="38"/>
      <c r="L3" s="44">
        <f t="shared" si="4"/>
        <v>695</v>
      </c>
      <c r="M3" s="44">
        <f t="shared" si="5"/>
        <v>268</v>
      </c>
      <c r="N3" s="44">
        <f t="shared" si="6"/>
        <v>0.4</v>
      </c>
      <c r="O3" s="38"/>
      <c r="P3" s="44">
        <f t="shared" si="7"/>
        <v>50</v>
      </c>
      <c r="Q3" s="44">
        <f t="shared" si="8"/>
        <v>40</v>
      </c>
      <c r="R3" s="44">
        <f t="shared" si="9"/>
        <v>-1.5555555555555556</v>
      </c>
      <c r="S3" s="38"/>
      <c r="T3" s="44">
        <f t="shared" si="10"/>
        <v>1.7863247863247862</v>
      </c>
      <c r="U3" s="39"/>
      <c r="V3" s="41">
        <f t="shared" si="11"/>
        <v>1</v>
      </c>
      <c r="W3" s="38"/>
      <c r="X3" s="41" t="str">
        <f t="shared" si="12"/>
        <v>F</v>
      </c>
      <c r="Y3" s="41" t="str">
        <f t="shared" si="13"/>
        <v>F</v>
      </c>
      <c r="Z3" s="41" t="str">
        <f t="shared" si="14"/>
        <v>h0</v>
      </c>
      <c r="AA3" s="38"/>
      <c r="AB3" s="41">
        <v>1</v>
      </c>
      <c r="AC3" s="41">
        <v>1</v>
      </c>
      <c r="AD3" s="38"/>
      <c r="AE3" s="41">
        <v>2</v>
      </c>
      <c r="AF3" s="41">
        <v>3</v>
      </c>
      <c r="AG3" s="38"/>
      <c r="AH3" s="41">
        <v>4</v>
      </c>
      <c r="AI3" s="41">
        <v>6</v>
      </c>
      <c r="AJ3" s="38"/>
      <c r="AK3" s="41" t="str">
        <f t="array" ref="AK3">IF(Z3="&lt;a","&lt;a",IF(Z3="c&gt;","c&gt;",INDEX($A$40:$E$47,MATCH(1,($A$40:$A$47=X3)*($B$40:$B$47=Y3)*IF(OR(Z3="h1",Z3="h0"),($C$40:$C$47=Z3),($D$40:$D$47=Z3)),0),5)))</f>
        <v>&lt;b</v>
      </c>
      <c r="AL3" t="s">
        <v>175</v>
      </c>
    </row>
    <row r="4" spans="1:41">
      <c r="A4" s="32">
        <v>2</v>
      </c>
      <c r="B4" s="32">
        <v>45</v>
      </c>
      <c r="C4" s="32">
        <v>8</v>
      </c>
      <c r="D4" s="32">
        <f t="shared" si="0"/>
        <v>0.4</v>
      </c>
      <c r="G4" s="11"/>
      <c r="H4" s="11">
        <f t="shared" ref="H4:H21" si="15">$A$14</f>
        <v>20</v>
      </c>
      <c r="I4" s="32">
        <f t="shared" si="2"/>
        <v>10</v>
      </c>
      <c r="J4" s="11">
        <f t="shared" si="3"/>
        <v>-4.2222222222222223</v>
      </c>
      <c r="K4" s="38"/>
      <c r="L4" s="11">
        <f t="shared" si="4"/>
        <v>695</v>
      </c>
      <c r="M4" s="11">
        <f t="shared" si="5"/>
        <v>268</v>
      </c>
      <c r="N4" s="11">
        <f t="shared" si="6"/>
        <v>0.4</v>
      </c>
      <c r="O4" s="38"/>
      <c r="P4" s="11">
        <f t="shared" ref="P4:P21" si="16">$A$24</f>
        <v>50</v>
      </c>
      <c r="Q4" s="32">
        <f t="shared" ref="Q4:Q21" si="17">$B$24</f>
        <v>40</v>
      </c>
      <c r="R4" s="32">
        <f t="shared" si="9"/>
        <v>-1.5555555555555556</v>
      </c>
      <c r="S4" s="38"/>
      <c r="T4" s="32">
        <f t="shared" si="10"/>
        <v>1.7863247863247862</v>
      </c>
      <c r="U4" s="39"/>
      <c r="V4">
        <f t="shared" si="11"/>
        <v>1</v>
      </c>
      <c r="W4" s="38"/>
      <c r="X4" t="str">
        <f t="shared" si="12"/>
        <v>F</v>
      </c>
      <c r="Y4" t="str">
        <f t="shared" si="13"/>
        <v>F</v>
      </c>
      <c r="Z4" t="str">
        <f t="shared" si="14"/>
        <v>h0</v>
      </c>
      <c r="AA4" s="38"/>
      <c r="AB4">
        <v>1</v>
      </c>
      <c r="AC4">
        <v>1</v>
      </c>
      <c r="AD4" s="38"/>
      <c r="AE4">
        <v>2</v>
      </c>
      <c r="AF4" s="9">
        <v>3</v>
      </c>
      <c r="AG4" s="38"/>
      <c r="AH4">
        <v>4</v>
      </c>
      <c r="AI4">
        <v>6</v>
      </c>
      <c r="AJ4" s="38"/>
      <c r="AK4" t="str">
        <f t="array" ref="AK4">IF(Z4="&lt;a","&lt;a",IF(Z4="c&gt;","c&gt;",INDEX($A$40:$E$47,MATCH(1,($A$40:$A$47=X4)*($B$40:$B$47=Y4)*IF(OR(Z4="h1",Z4="h0"),($C$40:$C$47=Z4),($D$40:$D$47=Z4)),0),5)))</f>
        <v>&lt;b</v>
      </c>
      <c r="AL4" t="s">
        <v>179</v>
      </c>
      <c r="AN4" t="s">
        <v>180</v>
      </c>
    </row>
    <row r="5" spans="1:41">
      <c r="A5" s="32">
        <v>3</v>
      </c>
      <c r="B5" s="32">
        <v>55</v>
      </c>
      <c r="C5" s="32">
        <v>12</v>
      </c>
      <c r="D5" s="32">
        <f t="shared" si="0"/>
        <v>3.5</v>
      </c>
      <c r="G5" s="11"/>
      <c r="H5" s="44">
        <f t="shared" si="15"/>
        <v>20</v>
      </c>
      <c r="I5" s="44">
        <f t="shared" ref="I5:I21" si="18">$B$14</f>
        <v>10</v>
      </c>
      <c r="J5" s="44">
        <f t="shared" si="3"/>
        <v>-4.2222222222222223</v>
      </c>
      <c r="K5" s="38"/>
      <c r="L5" s="44">
        <f t="shared" ref="L5:L17" si="19">$D$19</f>
        <v>695</v>
      </c>
      <c r="M5" s="44">
        <f t="shared" ref="M5:M17" si="20">$E$19</f>
        <v>268</v>
      </c>
      <c r="N5" s="44">
        <f t="shared" si="6"/>
        <v>0.4</v>
      </c>
      <c r="O5" s="38"/>
      <c r="P5" s="44">
        <f t="shared" si="16"/>
        <v>50</v>
      </c>
      <c r="Q5" s="44">
        <f t="shared" si="17"/>
        <v>40</v>
      </c>
      <c r="R5" s="44">
        <f t="shared" si="9"/>
        <v>-1.5555555555555556</v>
      </c>
      <c r="S5" s="38"/>
      <c r="T5" s="44">
        <f t="shared" si="10"/>
        <v>1.7863247863247862</v>
      </c>
      <c r="U5" s="39"/>
      <c r="V5" s="41">
        <f t="shared" si="11"/>
        <v>1</v>
      </c>
      <c r="W5" s="38"/>
      <c r="X5" s="41" t="str">
        <f t="shared" si="12"/>
        <v>F</v>
      </c>
      <c r="Y5" s="41" t="str">
        <f t="shared" si="13"/>
        <v>F</v>
      </c>
      <c r="Z5" s="41" t="str">
        <f t="shared" si="14"/>
        <v>h0</v>
      </c>
      <c r="AA5" s="38"/>
      <c r="AB5" s="41">
        <v>1</v>
      </c>
      <c r="AC5" s="41">
        <v>1</v>
      </c>
      <c r="AD5" s="38"/>
      <c r="AE5" s="41">
        <v>2</v>
      </c>
      <c r="AF5" s="41">
        <v>3</v>
      </c>
      <c r="AG5" s="38"/>
      <c r="AH5" s="41">
        <v>4</v>
      </c>
      <c r="AI5" s="41">
        <v>6</v>
      </c>
      <c r="AJ5" s="38"/>
      <c r="AK5" s="41" t="str">
        <f t="array" ref="AK5">IF(Z5="&lt;a","&lt;a",IF(Z5="c&gt;","c&gt;",INDEX($A$40:$E$47,MATCH(1,($A$40:$A$47=X5)*($B$40:$B$47=Y5)*IF(OR(Z5="h1",Z5="h0"),($C$40:$C$47=Z5),($D$40:$D$47=Z5)),0),5)))</f>
        <v>&lt;b</v>
      </c>
      <c r="AL5" t="s">
        <v>181</v>
      </c>
    </row>
    <row r="6" spans="1:41">
      <c r="A6" s="32">
        <v>4</v>
      </c>
      <c r="B6" s="32">
        <v>59</v>
      </c>
      <c r="C6" s="32">
        <v>26</v>
      </c>
      <c r="D6" s="32">
        <f t="shared" si="0"/>
        <v>-1.5555555555555556</v>
      </c>
      <c r="G6" s="11"/>
      <c r="H6" s="11">
        <f t="shared" si="15"/>
        <v>20</v>
      </c>
      <c r="I6" s="32">
        <f t="shared" si="18"/>
        <v>10</v>
      </c>
      <c r="J6" s="11">
        <f t="shared" si="3"/>
        <v>-4.2222222222222223</v>
      </c>
      <c r="K6" s="38"/>
      <c r="L6" s="11">
        <f t="shared" si="19"/>
        <v>695</v>
      </c>
      <c r="M6" s="11">
        <f t="shared" si="20"/>
        <v>268</v>
      </c>
      <c r="N6" s="11">
        <f t="shared" si="6"/>
        <v>0.4</v>
      </c>
      <c r="O6" s="38"/>
      <c r="P6" s="11">
        <f t="shared" si="16"/>
        <v>50</v>
      </c>
      <c r="Q6" s="32">
        <f t="shared" si="17"/>
        <v>40</v>
      </c>
      <c r="R6" s="32">
        <f t="shared" si="9"/>
        <v>-1.5555555555555556</v>
      </c>
      <c r="S6" s="38"/>
      <c r="T6" s="32">
        <f t="shared" si="10"/>
        <v>1.7863247863247862</v>
      </c>
      <c r="U6" s="39"/>
      <c r="V6">
        <f t="shared" si="11"/>
        <v>1</v>
      </c>
      <c r="W6" s="38"/>
      <c r="X6" t="str">
        <f t="shared" si="12"/>
        <v>F</v>
      </c>
      <c r="Y6" t="str">
        <f t="shared" si="13"/>
        <v>F</v>
      </c>
      <c r="Z6" t="str">
        <f t="shared" si="14"/>
        <v>h0</v>
      </c>
      <c r="AA6" s="38"/>
      <c r="AB6">
        <v>1</v>
      </c>
      <c r="AC6">
        <v>1</v>
      </c>
      <c r="AD6" s="38"/>
      <c r="AE6">
        <v>2</v>
      </c>
      <c r="AF6" s="9">
        <v>3</v>
      </c>
      <c r="AG6" s="38"/>
      <c r="AH6">
        <v>4</v>
      </c>
      <c r="AI6">
        <v>6</v>
      </c>
      <c r="AJ6" s="38"/>
      <c r="AK6" t="str">
        <f t="array" ref="AK6">IF(Z6="&lt;a","&lt;a",IF(Z6="c&gt;","c&gt;",INDEX($A$40:$E$47,MATCH(1,($A$40:$A$47=X6)*($B$40:$B$47=Y6)*IF(OR(Z6="h1",Z6="h0"),($C$40:$C$47=Z6),($D$40:$D$47=Z6)),0),5)))</f>
        <v>&lt;b</v>
      </c>
      <c r="AL6" t="s">
        <v>176</v>
      </c>
    </row>
    <row r="7" spans="1:41">
      <c r="A7" s="32">
        <v>5</v>
      </c>
      <c r="B7" s="32">
        <v>50</v>
      </c>
      <c r="C7" s="32">
        <v>40</v>
      </c>
      <c r="D7" s="32">
        <f t="shared" si="0"/>
        <v>-0.20512820512820512</v>
      </c>
      <c r="E7" s="11"/>
      <c r="F7" s="32"/>
      <c r="G7" s="11"/>
      <c r="H7" s="44">
        <f t="shared" si="15"/>
        <v>20</v>
      </c>
      <c r="I7" s="44">
        <f t="shared" si="18"/>
        <v>10</v>
      </c>
      <c r="J7" s="44">
        <f t="shared" si="3"/>
        <v>-4.2222222222222223</v>
      </c>
      <c r="K7" s="38"/>
      <c r="L7" s="44">
        <f t="shared" si="19"/>
        <v>695</v>
      </c>
      <c r="M7" s="44">
        <f t="shared" si="20"/>
        <v>268</v>
      </c>
      <c r="N7" s="44">
        <f t="shared" si="6"/>
        <v>0.4</v>
      </c>
      <c r="O7" s="38"/>
      <c r="P7" s="44">
        <f t="shared" si="16"/>
        <v>50</v>
      </c>
      <c r="Q7" s="44">
        <f t="shared" si="17"/>
        <v>40</v>
      </c>
      <c r="R7" s="44">
        <f t="shared" si="9"/>
        <v>-1.5555555555555556</v>
      </c>
      <c r="S7" s="38"/>
      <c r="T7" s="44">
        <f t="shared" si="10"/>
        <v>1.7863247863247862</v>
      </c>
      <c r="U7" s="39"/>
      <c r="V7" s="41">
        <f t="shared" si="11"/>
        <v>1</v>
      </c>
      <c r="W7" s="38"/>
      <c r="X7" s="41" t="str">
        <f t="shared" si="12"/>
        <v>F</v>
      </c>
      <c r="Y7" s="41" t="str">
        <f t="shared" si="13"/>
        <v>F</v>
      </c>
      <c r="Z7" s="41" t="str">
        <f t="shared" si="14"/>
        <v>h0</v>
      </c>
      <c r="AA7" s="38"/>
      <c r="AB7" s="41">
        <v>1</v>
      </c>
      <c r="AC7" s="41">
        <v>1</v>
      </c>
      <c r="AD7" s="38"/>
      <c r="AE7" s="41">
        <v>2</v>
      </c>
      <c r="AF7" s="41">
        <v>3</v>
      </c>
      <c r="AG7" s="38"/>
      <c r="AH7" s="41">
        <v>4</v>
      </c>
      <c r="AI7" s="41">
        <v>6</v>
      </c>
      <c r="AJ7" s="38"/>
      <c r="AK7" s="41" t="str">
        <f t="array" ref="AK7">IF(Z7="&lt;a","&lt;a",IF(Z7="c&gt;","c&gt;",INDEX($A$40:$E$47,MATCH(1,($A$40:$A$47=X7)*($B$40:$B$47=Y7)*IF(OR(Z7="h1",Z7="h0"),($C$40:$C$47=Z7),($D$40:$D$47=Z7)),0),5)))</f>
        <v>&lt;b</v>
      </c>
      <c r="AL7" t="s">
        <v>177</v>
      </c>
    </row>
    <row r="8" spans="1:41">
      <c r="A8" s="32">
        <v>6</v>
      </c>
      <c r="B8" s="32">
        <f>B2</f>
        <v>11</v>
      </c>
      <c r="C8" s="32">
        <f>C2</f>
        <v>48</v>
      </c>
      <c r="E8" s="11"/>
      <c r="F8" s="32"/>
      <c r="G8" s="11"/>
      <c r="H8" s="11">
        <f t="shared" si="15"/>
        <v>20</v>
      </c>
      <c r="I8" s="32">
        <f t="shared" si="18"/>
        <v>10</v>
      </c>
      <c r="J8" s="11">
        <f t="shared" si="3"/>
        <v>-4.2222222222222223</v>
      </c>
      <c r="K8" s="38"/>
      <c r="L8" s="11">
        <f t="shared" si="19"/>
        <v>695</v>
      </c>
      <c r="M8" s="11">
        <f t="shared" si="20"/>
        <v>268</v>
      </c>
      <c r="N8" s="11">
        <f t="shared" si="6"/>
        <v>0.4</v>
      </c>
      <c r="O8" s="38"/>
      <c r="P8" s="11">
        <f t="shared" si="16"/>
        <v>50</v>
      </c>
      <c r="Q8" s="32">
        <f t="shared" si="17"/>
        <v>40</v>
      </c>
      <c r="R8" s="32">
        <f t="shared" si="9"/>
        <v>-1.5555555555555556</v>
      </c>
      <c r="S8" s="38"/>
      <c r="T8" s="32">
        <f t="shared" si="10"/>
        <v>1.7863247863247862</v>
      </c>
      <c r="U8" s="39"/>
      <c r="V8">
        <f t="shared" si="11"/>
        <v>1</v>
      </c>
      <c r="W8" s="38"/>
      <c r="X8" t="str">
        <f t="shared" si="12"/>
        <v>F</v>
      </c>
      <c r="Y8" t="str">
        <f t="shared" si="13"/>
        <v>F</v>
      </c>
      <c r="Z8" t="str">
        <f t="shared" si="14"/>
        <v>h0</v>
      </c>
      <c r="AA8" s="38"/>
      <c r="AB8">
        <v>1</v>
      </c>
      <c r="AC8">
        <v>1</v>
      </c>
      <c r="AD8" s="38"/>
      <c r="AE8">
        <v>2</v>
      </c>
      <c r="AF8" s="9">
        <v>3</v>
      </c>
      <c r="AG8" s="38"/>
      <c r="AH8">
        <v>4</v>
      </c>
      <c r="AI8">
        <v>6</v>
      </c>
      <c r="AJ8" s="38"/>
      <c r="AK8" t="str">
        <f t="array" ref="AK8">IF(Z8="&lt;a","&lt;a",IF(Z8="c&gt;","c&gt;",INDEX($A$40:$E$47,MATCH(1,($A$40:$A$47=X8)*($B$40:$B$47=Y8)*IF(OR(Z8="h1",Z8="h0"),($C$40:$C$47=Z8),($D$40:$D$47=Z8)),0),5)))</f>
        <v>&lt;b</v>
      </c>
      <c r="AL8" t="s">
        <v>175</v>
      </c>
    </row>
    <row r="9" spans="1:41">
      <c r="A9" s="32"/>
      <c r="B9" s="32"/>
      <c r="C9" s="32"/>
      <c r="E9" s="32"/>
      <c r="F9" s="32"/>
      <c r="G9" s="11"/>
      <c r="H9" s="44">
        <f t="shared" si="15"/>
        <v>20</v>
      </c>
      <c r="I9" s="44">
        <f t="shared" si="18"/>
        <v>10</v>
      </c>
      <c r="J9" s="44">
        <f t="shared" si="3"/>
        <v>-4.2222222222222223</v>
      </c>
      <c r="K9" s="38"/>
      <c r="L9" s="44">
        <f t="shared" si="19"/>
        <v>695</v>
      </c>
      <c r="M9" s="44">
        <f t="shared" si="20"/>
        <v>268</v>
      </c>
      <c r="N9" s="44">
        <f t="shared" si="6"/>
        <v>0.4</v>
      </c>
      <c r="O9" s="38"/>
      <c r="P9" s="44">
        <f t="shared" si="16"/>
        <v>50</v>
      </c>
      <c r="Q9" s="44">
        <f t="shared" si="17"/>
        <v>40</v>
      </c>
      <c r="R9" s="44">
        <f t="shared" si="9"/>
        <v>-1.5555555555555556</v>
      </c>
      <c r="S9" s="38"/>
      <c r="T9" s="44">
        <f t="shared" si="10"/>
        <v>1.7863247863247862</v>
      </c>
      <c r="U9" s="39"/>
      <c r="V9" s="41">
        <f t="shared" si="11"/>
        <v>1</v>
      </c>
      <c r="W9" s="38"/>
      <c r="X9" s="41" t="str">
        <f t="shared" si="12"/>
        <v>F</v>
      </c>
      <c r="Y9" s="41" t="str">
        <f t="shared" si="13"/>
        <v>F</v>
      </c>
      <c r="Z9" s="41" t="str">
        <f t="shared" si="14"/>
        <v>h0</v>
      </c>
      <c r="AA9" s="38"/>
      <c r="AB9" s="41">
        <v>1</v>
      </c>
      <c r="AC9" s="41">
        <v>1</v>
      </c>
      <c r="AD9" s="38"/>
      <c r="AE9" s="41">
        <v>2</v>
      </c>
      <c r="AF9" s="41">
        <v>3</v>
      </c>
      <c r="AG9" s="38"/>
      <c r="AH9" s="41">
        <v>4</v>
      </c>
      <c r="AI9" s="41">
        <v>6</v>
      </c>
      <c r="AJ9" s="38"/>
      <c r="AK9" s="41" t="str">
        <f t="array" ref="AK9">IF(Z9="&lt;a","&lt;a",IF(Z9="c&gt;","c&gt;",INDEX($A$40:$E$47,MATCH(1,($A$40:$A$47=X9)*($B$40:$B$47=Y9)*IF(OR(Z9="h1",Z9="h0"),($C$40:$C$47=Z9),($D$40:$D$47=Z9)),0),5)))</f>
        <v>&lt;b</v>
      </c>
    </row>
    <row r="10" spans="1:41">
      <c r="A10" s="32"/>
      <c r="B10" s="32"/>
      <c r="C10" s="32"/>
      <c r="E10" s="32"/>
      <c r="F10" s="32"/>
      <c r="G10" s="11"/>
      <c r="H10" s="11">
        <f t="shared" si="15"/>
        <v>20</v>
      </c>
      <c r="I10" s="32">
        <f t="shared" si="18"/>
        <v>10</v>
      </c>
      <c r="J10" s="11">
        <f t="shared" si="3"/>
        <v>-4.2222222222222223</v>
      </c>
      <c r="K10" s="38"/>
      <c r="L10" s="11">
        <f t="shared" si="19"/>
        <v>695</v>
      </c>
      <c r="M10" s="11">
        <f t="shared" si="20"/>
        <v>268</v>
      </c>
      <c r="N10" s="11">
        <f t="shared" si="6"/>
        <v>0.4</v>
      </c>
      <c r="O10" s="38"/>
      <c r="P10" s="11">
        <f t="shared" si="16"/>
        <v>50</v>
      </c>
      <c r="Q10" s="32">
        <f t="shared" si="17"/>
        <v>40</v>
      </c>
      <c r="R10" s="32">
        <f t="shared" si="9"/>
        <v>-1.5555555555555556</v>
      </c>
      <c r="S10" s="38"/>
      <c r="T10" s="32">
        <f t="shared" si="10"/>
        <v>1.7863247863247862</v>
      </c>
      <c r="U10" s="39"/>
      <c r="V10">
        <f t="shared" si="11"/>
        <v>1</v>
      </c>
      <c r="W10" s="38"/>
      <c r="X10" t="str">
        <f t="shared" si="12"/>
        <v>F</v>
      </c>
      <c r="Y10" t="str">
        <f t="shared" si="13"/>
        <v>F</v>
      </c>
      <c r="Z10" t="str">
        <f t="shared" si="14"/>
        <v>h0</v>
      </c>
      <c r="AA10" s="38"/>
      <c r="AB10">
        <v>1</v>
      </c>
      <c r="AC10">
        <v>1</v>
      </c>
      <c r="AD10" s="38"/>
      <c r="AE10">
        <v>2</v>
      </c>
      <c r="AF10" s="9">
        <v>3</v>
      </c>
      <c r="AG10" s="38"/>
      <c r="AH10">
        <v>4</v>
      </c>
      <c r="AI10">
        <v>6</v>
      </c>
      <c r="AJ10" s="38"/>
      <c r="AK10" t="str">
        <f t="array" ref="AK10">IF(Z10="&lt;a","&lt;a",IF(Z10="c&gt;","c&gt;",INDEX($A$40:$E$47,MATCH(1,($A$40:$A$47=X10)*($B$40:$B$47=Y10)*IF(OR(Z10="h1",Z10="h0"),($C$40:$C$47=Z10),($D$40:$D$47=Z10)),0),5)))</f>
        <v>&lt;b</v>
      </c>
    </row>
    <row r="11" spans="1:41">
      <c r="A11" s="32"/>
      <c r="B11" s="32"/>
      <c r="C11" s="32"/>
      <c r="E11" s="32"/>
      <c r="G11" s="32"/>
      <c r="H11" s="44">
        <f t="shared" si="15"/>
        <v>20</v>
      </c>
      <c r="I11" s="44">
        <f t="shared" si="18"/>
        <v>10</v>
      </c>
      <c r="J11" s="44">
        <f t="shared" si="3"/>
        <v>-4.2222222222222223</v>
      </c>
      <c r="K11" s="38"/>
      <c r="L11" s="44">
        <f t="shared" si="19"/>
        <v>695</v>
      </c>
      <c r="M11" s="44">
        <f t="shared" si="20"/>
        <v>268</v>
      </c>
      <c r="N11" s="44">
        <f t="shared" si="6"/>
        <v>0.4</v>
      </c>
      <c r="O11" s="38"/>
      <c r="P11" s="44">
        <f t="shared" si="16"/>
        <v>50</v>
      </c>
      <c r="Q11" s="44">
        <f t="shared" si="17"/>
        <v>40</v>
      </c>
      <c r="R11" s="44">
        <f t="shared" si="9"/>
        <v>-1.5555555555555556</v>
      </c>
      <c r="S11" s="38"/>
      <c r="T11" s="44">
        <f t="shared" si="10"/>
        <v>1.7863247863247862</v>
      </c>
      <c r="U11" s="39"/>
      <c r="V11" s="41">
        <f t="shared" si="11"/>
        <v>1</v>
      </c>
      <c r="W11" s="38"/>
      <c r="X11" s="41" t="str">
        <f t="shared" si="12"/>
        <v>F</v>
      </c>
      <c r="Y11" s="41" t="str">
        <f t="shared" si="13"/>
        <v>F</v>
      </c>
      <c r="Z11" s="41" t="str">
        <f t="shared" si="14"/>
        <v>h0</v>
      </c>
      <c r="AA11" s="38"/>
      <c r="AB11" s="41">
        <v>1</v>
      </c>
      <c r="AC11" s="41">
        <v>1</v>
      </c>
      <c r="AD11" s="38"/>
      <c r="AE11" s="41">
        <v>2</v>
      </c>
      <c r="AF11" s="41">
        <v>3</v>
      </c>
      <c r="AG11" s="38"/>
      <c r="AH11" s="41">
        <v>4</v>
      </c>
      <c r="AI11" s="41">
        <v>6</v>
      </c>
      <c r="AJ11" s="38"/>
      <c r="AK11" s="41" t="str">
        <f t="array" ref="AK11">IF(Z11="&lt;a","&lt;a",IF(Z11="c&gt;","c&gt;",INDEX($A$40:$E$47,MATCH(1,($A$40:$A$47=X11)*($B$40:$B$47=Y11)*IF(OR(Z11="h1",Z11="h0"),($C$40:$C$47=Z11),($D$40:$D$47=Z11)),0),5)))</f>
        <v>&lt;b</v>
      </c>
      <c r="AM11" t="s">
        <v>149</v>
      </c>
    </row>
    <row r="12" spans="1:41">
      <c r="A12" s="32" t="s">
        <v>10</v>
      </c>
      <c r="B12" s="32">
        <f>(D2+D2)/2</f>
        <v>-4.2222222222222223</v>
      </c>
      <c r="C12" s="32"/>
      <c r="E12" s="32"/>
      <c r="G12" s="11"/>
      <c r="H12" s="11">
        <f t="shared" si="15"/>
        <v>20</v>
      </c>
      <c r="I12" s="32">
        <f t="shared" si="18"/>
        <v>10</v>
      </c>
      <c r="J12" s="11">
        <f t="shared" si="3"/>
        <v>-4.2222222222222223</v>
      </c>
      <c r="K12" s="38"/>
      <c r="L12" s="11">
        <f t="shared" si="19"/>
        <v>695</v>
      </c>
      <c r="M12" s="11">
        <f t="shared" si="20"/>
        <v>268</v>
      </c>
      <c r="N12" s="11">
        <f t="shared" si="6"/>
        <v>0.4</v>
      </c>
      <c r="O12" s="38"/>
      <c r="P12" s="11">
        <f t="shared" si="16"/>
        <v>50</v>
      </c>
      <c r="Q12" s="32">
        <f t="shared" si="17"/>
        <v>40</v>
      </c>
      <c r="R12" s="32">
        <f t="shared" si="9"/>
        <v>-1.5555555555555556</v>
      </c>
      <c r="S12" s="38"/>
      <c r="T12" s="32">
        <f t="shared" si="10"/>
        <v>1.7863247863247862</v>
      </c>
      <c r="U12" s="39"/>
      <c r="V12">
        <f t="shared" si="11"/>
        <v>1</v>
      </c>
      <c r="W12" s="38"/>
      <c r="X12" t="str">
        <f t="shared" si="12"/>
        <v>F</v>
      </c>
      <c r="Y12" t="str">
        <f t="shared" si="13"/>
        <v>F</v>
      </c>
      <c r="Z12" t="str">
        <f t="shared" si="14"/>
        <v>h0</v>
      </c>
      <c r="AA12" s="38"/>
      <c r="AB12">
        <v>1</v>
      </c>
      <c r="AC12">
        <v>1</v>
      </c>
      <c r="AD12" s="38"/>
      <c r="AE12">
        <v>2</v>
      </c>
      <c r="AF12" s="9">
        <v>3</v>
      </c>
      <c r="AG12" s="38"/>
      <c r="AH12">
        <v>4</v>
      </c>
      <c r="AI12">
        <v>6</v>
      </c>
      <c r="AJ12" s="38"/>
      <c r="AK12" t="str">
        <f t="array" ref="AK12">IF(Z12="&lt;a","&lt;a",IF(Z12="c&gt;","c&gt;",INDEX($A$40:$E$47,MATCH(1,($A$40:$A$47=X12)*($B$40:$B$47=Y12)*IF(OR(Z12="h1",Z12="h0"),($C$40:$C$47=Z12),($D$40:$D$47=Z12)),0),5)))</f>
        <v>&lt;b</v>
      </c>
      <c r="AM12" t="str">
        <f>IF(-ma&gt;=-mc,"TRUE")</f>
        <v>TRUE</v>
      </c>
      <c r="AN12" t="b">
        <f>IF(-ma &lt; mac, "TRUE")</f>
        <v>0</v>
      </c>
      <c r="AO12" t="str">
        <f>IF(mac&lt;-mc,"TRUE")</f>
        <v>TRUE</v>
      </c>
    </row>
    <row r="13" spans="1:41">
      <c r="A13" s="32">
        <f>A14-50</f>
        <v>-30</v>
      </c>
      <c r="B13" s="32">
        <f>B12*(A13-A14)+B14</f>
        <v>221.11111111111111</v>
      </c>
      <c r="C13" s="32"/>
      <c r="E13" s="32"/>
      <c r="G13" s="11"/>
      <c r="H13" s="44">
        <f t="shared" si="15"/>
        <v>20</v>
      </c>
      <c r="I13" s="44">
        <f t="shared" si="18"/>
        <v>10</v>
      </c>
      <c r="J13" s="44">
        <f t="shared" si="3"/>
        <v>-4.2222222222222223</v>
      </c>
      <c r="K13" s="38"/>
      <c r="L13" s="44">
        <f t="shared" si="19"/>
        <v>695</v>
      </c>
      <c r="M13" s="44">
        <f t="shared" si="20"/>
        <v>268</v>
      </c>
      <c r="N13" s="44">
        <f t="shared" si="6"/>
        <v>0.4</v>
      </c>
      <c r="O13" s="38"/>
      <c r="P13" s="44">
        <f t="shared" si="16"/>
        <v>50</v>
      </c>
      <c r="Q13" s="44">
        <f t="shared" si="17"/>
        <v>40</v>
      </c>
      <c r="R13" s="44">
        <f t="shared" si="9"/>
        <v>-1.5555555555555556</v>
      </c>
      <c r="S13" s="38"/>
      <c r="T13" s="44">
        <f t="shared" si="10"/>
        <v>1.7863247863247862</v>
      </c>
      <c r="U13" s="39"/>
      <c r="V13" s="41">
        <f t="shared" si="11"/>
        <v>1</v>
      </c>
      <c r="W13" s="38"/>
      <c r="X13" s="41" t="str">
        <f t="shared" si="12"/>
        <v>F</v>
      </c>
      <c r="Y13" s="41" t="str">
        <f t="shared" si="13"/>
        <v>F</v>
      </c>
      <c r="Z13" s="41" t="str">
        <f t="shared" si="14"/>
        <v>h0</v>
      </c>
      <c r="AA13" s="38"/>
      <c r="AB13" s="41">
        <v>1</v>
      </c>
      <c r="AC13" s="41">
        <v>1</v>
      </c>
      <c r="AD13" s="38"/>
      <c r="AE13" s="41">
        <v>2</v>
      </c>
      <c r="AF13" s="41">
        <v>3</v>
      </c>
      <c r="AG13" s="38"/>
      <c r="AH13" s="41">
        <v>4</v>
      </c>
      <c r="AI13" s="41">
        <v>6</v>
      </c>
      <c r="AJ13" s="38"/>
      <c r="AK13" s="41" t="str">
        <f t="array" ref="AK13">IF(Z13="&lt;a","&lt;a",IF(Z13="c&gt;","c&gt;",INDEX($A$40:$E$47,MATCH(1,($A$40:$A$47=X13)*($B$40:$B$47=Y13)*IF(OR(Z13="h1",Z13="h0"),($C$40:$C$47=Z13),($D$40:$D$47=Z13)),0),5)))</f>
        <v>&lt;b</v>
      </c>
      <c r="AM13" t="b">
        <f>IF(-ma&lt;mac, "TRUE")</f>
        <v>0</v>
      </c>
      <c r="AN13" t="str">
        <f>IF(mac&lt;-mc, "TRUE")</f>
        <v>TRUE</v>
      </c>
      <c r="AO13" t="str">
        <f>IF(mac&lt;=m,"TRUE")</f>
        <v>TRUE</v>
      </c>
    </row>
    <row r="14" spans="1:41">
      <c r="A14" s="32">
        <f>B2+(B3-B2)*1</f>
        <v>20</v>
      </c>
      <c r="B14" s="32">
        <f>ma*(A14-B3)+C3</f>
        <v>10</v>
      </c>
      <c r="C14" s="32"/>
      <c r="E14" s="32"/>
      <c r="G14" s="11"/>
      <c r="H14" s="11">
        <f t="shared" si="15"/>
        <v>20</v>
      </c>
      <c r="I14" s="32">
        <f t="shared" si="18"/>
        <v>10</v>
      </c>
      <c r="J14" s="11">
        <f t="shared" ref="J14:J31" si="21">ma</f>
        <v>-4.2222222222222223</v>
      </c>
      <c r="K14" s="38"/>
      <c r="L14" s="11">
        <f t="shared" si="19"/>
        <v>695</v>
      </c>
      <c r="M14" s="11">
        <f t="shared" si="20"/>
        <v>268</v>
      </c>
      <c r="N14" s="11">
        <f t="shared" ref="N14:N31" si="22">mb</f>
        <v>0.4</v>
      </c>
      <c r="O14" s="38"/>
      <c r="P14" s="11">
        <f t="shared" si="16"/>
        <v>50</v>
      </c>
      <c r="Q14" s="32">
        <f t="shared" si="17"/>
        <v>40</v>
      </c>
      <c r="R14" s="32">
        <f t="shared" ref="R14:R31" si="23">mc</f>
        <v>-1.5555555555555556</v>
      </c>
      <c r="S14" s="38"/>
      <c r="T14" s="32">
        <f t="shared" ref="T14:T31" si="24">m</f>
        <v>1.7863247863247862</v>
      </c>
      <c r="U14" s="39"/>
      <c r="V14">
        <f t="shared" ref="V14:V31" si="25">mac</f>
        <v>1</v>
      </c>
      <c r="W14" s="38"/>
      <c r="X14" t="str">
        <f t="shared" si="12"/>
        <v>F</v>
      </c>
      <c r="Y14" t="str">
        <f t="shared" si="13"/>
        <v>F</v>
      </c>
      <c r="Z14" t="str">
        <f t="shared" si="14"/>
        <v>h0</v>
      </c>
      <c r="AA14" s="38"/>
      <c r="AB14">
        <v>1</v>
      </c>
      <c r="AC14">
        <v>1</v>
      </c>
      <c r="AD14" s="38"/>
      <c r="AE14">
        <v>2</v>
      </c>
      <c r="AF14" s="9">
        <v>3</v>
      </c>
      <c r="AG14" s="38"/>
      <c r="AH14">
        <v>4</v>
      </c>
      <c r="AI14">
        <v>6</v>
      </c>
      <c r="AJ14" s="38"/>
      <c r="AK14" t="str">
        <f t="array" ref="AK14">IF(Z14="&lt;a","&lt;a",IF(Z14="c&gt;","c&gt;",INDEX($A$40:$E$47,MATCH(1,($A$40:$A$47=X14)*($B$40:$B$47=Y14)*IF(OR(Z14="h1",Z14="h0"),($C$40:$C$47=Z14),($D$40:$D$47=Z14)),0),5)))</f>
        <v>&lt;b</v>
      </c>
    </row>
    <row r="15" spans="1:41">
      <c r="A15" s="32">
        <f>A14+50</f>
        <v>70</v>
      </c>
      <c r="B15" s="32">
        <f>B12*(A15-A14)+B14</f>
        <v>-201.11111111111111</v>
      </c>
      <c r="C15" s="32"/>
      <c r="E15" s="32"/>
      <c r="G15" s="32"/>
      <c r="H15" s="44">
        <f t="shared" si="15"/>
        <v>20</v>
      </c>
      <c r="I15" s="44">
        <f t="shared" si="18"/>
        <v>10</v>
      </c>
      <c r="J15" s="44">
        <f t="shared" ref="J15:J32" si="26">ma</f>
        <v>-4.2222222222222223</v>
      </c>
      <c r="K15" s="38"/>
      <c r="L15" s="44">
        <f t="shared" si="19"/>
        <v>695</v>
      </c>
      <c r="M15" s="44">
        <f t="shared" si="20"/>
        <v>268</v>
      </c>
      <c r="N15" s="44">
        <f t="shared" ref="N15:N32" si="27">mb</f>
        <v>0.4</v>
      </c>
      <c r="O15" s="38"/>
      <c r="P15" s="44">
        <f t="shared" si="16"/>
        <v>50</v>
      </c>
      <c r="Q15" s="44">
        <f t="shared" si="17"/>
        <v>40</v>
      </c>
      <c r="R15" s="44">
        <f t="shared" ref="R15:R32" si="28">mc</f>
        <v>-1.5555555555555556</v>
      </c>
      <c r="S15" s="38"/>
      <c r="T15" s="44">
        <f t="shared" ref="T15:T32" si="29">m</f>
        <v>1.7863247863247862</v>
      </c>
      <c r="U15" s="39"/>
      <c r="V15" s="41">
        <f t="shared" ref="V15:V32" si="30">mac</f>
        <v>1</v>
      </c>
      <c r="W15" s="38"/>
      <c r="X15" s="41" t="str">
        <f t="shared" si="12"/>
        <v>F</v>
      </c>
      <c r="Y15" s="41" t="str">
        <f t="shared" si="13"/>
        <v>F</v>
      </c>
      <c r="Z15" s="41" t="str">
        <f t="shared" si="14"/>
        <v>h0</v>
      </c>
      <c r="AA15" s="38"/>
      <c r="AB15" s="41">
        <v>1</v>
      </c>
      <c r="AC15" s="41">
        <v>1</v>
      </c>
      <c r="AD15" s="38"/>
      <c r="AE15" s="41">
        <v>2</v>
      </c>
      <c r="AF15" s="41">
        <v>3</v>
      </c>
      <c r="AG15" s="38"/>
      <c r="AH15" s="41">
        <v>4</v>
      </c>
      <c r="AI15" s="41">
        <v>6</v>
      </c>
      <c r="AJ15" s="38"/>
      <c r="AK15" s="41" t="str">
        <f t="array" ref="AK15">IF(Z15="&lt;a","&lt;a",IF(Z15="c&gt;","c&gt;",INDEX($A$40:$E$47,MATCH(1,($A$40:$A$47=X15)*($B$40:$B$47=Y15)*IF(OR(Z15="h1",Z15="h0"),($C$40:$C$47=Z15),($D$40:$D$47=Z15)),0),5)))</f>
        <v>&lt;b</v>
      </c>
    </row>
    <row r="16" spans="1:41">
      <c r="A16" s="32"/>
      <c r="B16" s="32"/>
      <c r="C16" s="32"/>
      <c r="E16" s="32"/>
      <c r="G16" s="32"/>
      <c r="H16" s="11">
        <f t="shared" si="15"/>
        <v>20</v>
      </c>
      <c r="I16" s="32">
        <f t="shared" si="18"/>
        <v>10</v>
      </c>
      <c r="J16" s="11">
        <f t="shared" si="21"/>
        <v>-4.2222222222222223</v>
      </c>
      <c r="K16" s="38"/>
      <c r="L16" s="11">
        <f t="shared" si="19"/>
        <v>695</v>
      </c>
      <c r="M16" s="11">
        <f t="shared" si="20"/>
        <v>268</v>
      </c>
      <c r="N16" s="11">
        <f t="shared" si="22"/>
        <v>0.4</v>
      </c>
      <c r="O16" s="38"/>
      <c r="P16" s="11">
        <f t="shared" si="16"/>
        <v>50</v>
      </c>
      <c r="Q16" s="32">
        <f t="shared" si="17"/>
        <v>40</v>
      </c>
      <c r="R16" s="32">
        <f t="shared" si="23"/>
        <v>-1.5555555555555556</v>
      </c>
      <c r="S16" s="38"/>
      <c r="T16" s="32">
        <f t="shared" si="24"/>
        <v>1.7863247863247862</v>
      </c>
      <c r="U16" s="39"/>
      <c r="V16">
        <f t="shared" si="25"/>
        <v>1</v>
      </c>
      <c r="W16" s="38"/>
      <c r="X16" t="str">
        <f t="shared" ref="X4:X17" si="31">IF(I16&gt;=M16,"T","F")</f>
        <v>F</v>
      </c>
      <c r="Y16" t="str">
        <f t="shared" ref="Y4:Y17" si="32">IF(L16&lt;=P16,"T","F")</f>
        <v>F</v>
      </c>
      <c r="Z16" t="str">
        <f t="shared" ref="Z4:Z17" si="33">IF(-J16&gt;=-R16,IF(-J16&lt;V16,"h1",IF(V16&lt;-R16,"h0",IF(V16&lt;=-T16,"hT","hF"))),IF(-J16&lt;V16,"&lt;a",IF(V16&lt;-R16,"c&gt;")))</f>
        <v>h0</v>
      </c>
      <c r="AA16" s="38"/>
      <c r="AB16">
        <v>1</v>
      </c>
      <c r="AC16">
        <v>1</v>
      </c>
      <c r="AD16" s="38"/>
      <c r="AE16">
        <v>2</v>
      </c>
      <c r="AF16" s="9">
        <v>3</v>
      </c>
      <c r="AG16" s="38"/>
      <c r="AH16">
        <v>4</v>
      </c>
      <c r="AI16">
        <v>6</v>
      </c>
      <c r="AJ16" s="38"/>
      <c r="AK16" t="str">
        <f t="array" ref="AK16">IF(Z16="&lt;a","&lt;a",IF(Z16="c&gt;","c&gt;",INDEX($A$40:$E$47,MATCH(1,($A$40:$A$47=X16)*($B$40:$B$47=Y16)*IF(OR(Z16="h1",Z16="h0"),($C$40:$C$47=Z16),($D$40:$D$47=Z16)),0),5)))</f>
        <v>&lt;b</v>
      </c>
    </row>
    <row r="17" spans="1:37">
      <c r="A17" s="32" t="s">
        <v>23</v>
      </c>
      <c r="B17" s="32">
        <f>D4</f>
        <v>0.4</v>
      </c>
      <c r="C17" s="32"/>
      <c r="D17" s="32"/>
      <c r="E17" s="32"/>
      <c r="G17" s="32"/>
      <c r="H17" s="44">
        <f t="shared" si="15"/>
        <v>20</v>
      </c>
      <c r="I17" s="44">
        <f t="shared" si="18"/>
        <v>10</v>
      </c>
      <c r="J17" s="44">
        <f t="shared" si="26"/>
        <v>-4.2222222222222223</v>
      </c>
      <c r="K17" s="38"/>
      <c r="L17" s="44">
        <f t="shared" si="19"/>
        <v>695</v>
      </c>
      <c r="M17" s="44">
        <f t="shared" si="20"/>
        <v>268</v>
      </c>
      <c r="N17" s="44">
        <f t="shared" si="27"/>
        <v>0.4</v>
      </c>
      <c r="O17" s="38"/>
      <c r="P17" s="44">
        <f t="shared" si="16"/>
        <v>50</v>
      </c>
      <c r="Q17" s="44">
        <f t="shared" si="17"/>
        <v>40</v>
      </c>
      <c r="R17" s="44">
        <f t="shared" si="28"/>
        <v>-1.5555555555555556</v>
      </c>
      <c r="S17" s="38"/>
      <c r="T17" s="44">
        <f t="shared" si="29"/>
        <v>1.7863247863247862</v>
      </c>
      <c r="U17" s="39"/>
      <c r="V17" s="41">
        <f t="shared" si="30"/>
        <v>1</v>
      </c>
      <c r="W17" s="38"/>
      <c r="X17" s="41" t="str">
        <f t="shared" si="31"/>
        <v>F</v>
      </c>
      <c r="Y17" s="41" t="str">
        <f t="shared" si="32"/>
        <v>F</v>
      </c>
      <c r="Z17" s="41" t="str">
        <f t="shared" si="33"/>
        <v>h0</v>
      </c>
      <c r="AA17" s="38"/>
      <c r="AB17" s="41">
        <v>1</v>
      </c>
      <c r="AC17" s="41">
        <v>1</v>
      </c>
      <c r="AD17" s="38"/>
      <c r="AE17" s="41">
        <v>2</v>
      </c>
      <c r="AF17" s="41">
        <v>3</v>
      </c>
      <c r="AG17" s="38"/>
      <c r="AH17" s="41">
        <v>4</v>
      </c>
      <c r="AI17" s="41">
        <v>6</v>
      </c>
      <c r="AJ17" s="38"/>
      <c r="AK17" s="41" t="str">
        <f t="array" ref="AK17">IF(Z17="&lt;a","&lt;a",IF(Z17="c&gt;","c&gt;",INDEX($A$40:$E$47,MATCH(1,($A$40:$A$47=X17)*($B$40:$B$47=Y17)*IF(OR(Z17="h1",Z17="h0"),($C$40:$C$47=Z17),($D$40:$D$47=Z17)),0),5)))</f>
        <v>&lt;b</v>
      </c>
    </row>
    <row r="18" spans="1:37">
      <c r="A18" s="32">
        <f>A19-50</f>
        <v>-5</v>
      </c>
      <c r="B18" s="32">
        <f>B17*(A18-A19)+B19</f>
        <v>-12</v>
      </c>
      <c r="C18" s="32"/>
      <c r="D18" s="32">
        <f>D19-50</f>
        <v>645</v>
      </c>
      <c r="E18" s="32">
        <f>B17*(D18-D19)+E19</f>
        <v>248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37">
      <c r="A19" s="32">
        <f>B4+(B5-B4)*0</f>
        <v>45</v>
      </c>
      <c r="B19" s="32">
        <f>mb*(A19-B5)+C5</f>
        <v>8</v>
      </c>
      <c r="C19" s="32"/>
      <c r="D19" s="32">
        <f>(E19-C4)/B17 + B4</f>
        <v>695</v>
      </c>
      <c r="E19" s="32">
        <v>268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37">
      <c r="A20" s="32">
        <f>A19+50</f>
        <v>95</v>
      </c>
      <c r="B20" s="32">
        <f>B17*(A20-A19)+B19</f>
        <v>28</v>
      </c>
      <c r="C20" s="32"/>
      <c r="D20" s="32">
        <f>D19+50</f>
        <v>745</v>
      </c>
      <c r="E20" s="32">
        <f>B17*(D20-D19)+E19</f>
        <v>288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37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37">
      <c r="A22" s="32" t="s">
        <v>11</v>
      </c>
      <c r="B22" s="32">
        <f>D6</f>
        <v>-1.5555555555555556</v>
      </c>
      <c r="C22" s="32"/>
      <c r="D22" s="32"/>
      <c r="E22" s="32"/>
      <c r="F22" s="32"/>
      <c r="G22" s="32">
        <f>2/5</f>
        <v>0.4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37">
      <c r="A23" s="32">
        <f>A24-50</f>
        <v>0</v>
      </c>
      <c r="B23" s="32">
        <f>B22*(A23-A24)+B24</f>
        <v>117.77777777777779</v>
      </c>
      <c r="C23" s="32"/>
      <c r="D23" s="32"/>
      <c r="E23" s="32"/>
      <c r="F23" s="32"/>
      <c r="G23" s="32">
        <v>55</v>
      </c>
      <c r="H23" s="32">
        <f>G22*(G23-50)+10</f>
        <v>12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37">
      <c r="A24" s="32">
        <f>B7</f>
        <v>50</v>
      </c>
      <c r="B24" s="32">
        <f>mc*(A24-B7)+C7</f>
        <v>40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37">
      <c r="A25" s="32">
        <f>A24+50</f>
        <v>100</v>
      </c>
      <c r="B25" s="32">
        <f>B22*(A25-A24)+B24</f>
        <v>-37.777777777777786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37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37">
      <c r="A27" s="32" t="s">
        <v>9</v>
      </c>
      <c r="B27" s="32">
        <f>-ma*(mc-mb)/(ma-mb)</f>
        <v>1.7863247863247862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37">
      <c r="A28" t="s">
        <v>153</v>
      </c>
      <c r="B28">
        <f>(B24-B14)/(A24-A14)</f>
        <v>1</v>
      </c>
    </row>
    <row r="31" spans="1:37">
      <c r="A31" t="s">
        <v>132</v>
      </c>
      <c r="B31" t="s">
        <v>133</v>
      </c>
      <c r="C31" t="s">
        <v>134</v>
      </c>
      <c r="D31" t="s">
        <v>138</v>
      </c>
      <c r="I31" s="11" t="s">
        <v>185</v>
      </c>
      <c r="J31" s="11" t="s">
        <v>186</v>
      </c>
    </row>
    <row r="32" spans="1:37">
      <c r="A32" t="s">
        <v>135</v>
      </c>
      <c r="B32" t="s">
        <v>133</v>
      </c>
      <c r="C32" t="s">
        <v>134</v>
      </c>
      <c r="D32" t="s">
        <v>139</v>
      </c>
      <c r="I32" s="11">
        <v>20</v>
      </c>
      <c r="J32" s="11">
        <v>10</v>
      </c>
    </row>
    <row r="33" spans="1:10">
      <c r="A33" t="s">
        <v>135</v>
      </c>
      <c r="B33" t="s">
        <v>136</v>
      </c>
      <c r="C33" t="s">
        <v>134</v>
      </c>
      <c r="I33" s="11">
        <v>50</v>
      </c>
      <c r="J33" s="11">
        <v>10</v>
      </c>
    </row>
    <row r="34" spans="1:10">
      <c r="A34" t="s">
        <v>132</v>
      </c>
      <c r="B34" t="s">
        <v>136</v>
      </c>
      <c r="C34" t="s">
        <v>134</v>
      </c>
      <c r="D34" t="s">
        <v>140</v>
      </c>
      <c r="I34" s="11">
        <v>50</v>
      </c>
      <c r="J34" s="11">
        <v>40</v>
      </c>
    </row>
    <row r="35" spans="1:10">
      <c r="A35" t="s">
        <v>132</v>
      </c>
      <c r="B35" t="s">
        <v>136</v>
      </c>
      <c r="C35" t="s">
        <v>137</v>
      </c>
      <c r="D35" t="s">
        <v>141</v>
      </c>
      <c r="I35" s="11">
        <v>20</v>
      </c>
      <c r="J35" s="11">
        <v>40</v>
      </c>
    </row>
    <row r="36" spans="1:10">
      <c r="A36" t="s">
        <v>135</v>
      </c>
      <c r="B36" t="s">
        <v>136</v>
      </c>
      <c r="C36" t="s">
        <v>137</v>
      </c>
      <c r="D36" t="s">
        <v>142</v>
      </c>
      <c r="I36" s="11">
        <f>I32</f>
        <v>20</v>
      </c>
      <c r="J36" s="32">
        <f>J32</f>
        <v>10</v>
      </c>
    </row>
    <row r="37" spans="1:10">
      <c r="A37" t="s">
        <v>135</v>
      </c>
      <c r="B37" t="s">
        <v>133</v>
      </c>
      <c r="C37" t="s">
        <v>137</v>
      </c>
      <c r="D37" t="s">
        <v>143</v>
      </c>
    </row>
    <row r="38" spans="1:10">
      <c r="A38" t="s">
        <v>132</v>
      </c>
      <c r="B38" t="s">
        <v>133</v>
      </c>
      <c r="C38" t="s">
        <v>137</v>
      </c>
    </row>
    <row r="40" spans="1:10">
      <c r="A40" t="s">
        <v>164</v>
      </c>
      <c r="B40" t="s">
        <v>163</v>
      </c>
      <c r="C40" t="s">
        <v>168</v>
      </c>
      <c r="D40" t="s">
        <v>166</v>
      </c>
      <c r="E40" t="s">
        <v>139</v>
      </c>
    </row>
    <row r="41" spans="1:10">
      <c r="A41" t="s">
        <v>164</v>
      </c>
      <c r="B41" t="s">
        <v>164</v>
      </c>
      <c r="C41" t="s">
        <v>168</v>
      </c>
      <c r="D41" t="s">
        <v>166</v>
      </c>
      <c r="E41" t="s">
        <v>173</v>
      </c>
    </row>
    <row r="42" spans="1:10">
      <c r="A42" t="s">
        <v>164</v>
      </c>
      <c r="B42" t="s">
        <v>163</v>
      </c>
      <c r="C42" t="s">
        <v>169</v>
      </c>
      <c r="D42" t="s">
        <v>167</v>
      </c>
      <c r="E42" t="s">
        <v>143</v>
      </c>
    </row>
    <row r="43" spans="1:10">
      <c r="A43" t="s">
        <v>164</v>
      </c>
      <c r="B43" t="s">
        <v>164</v>
      </c>
      <c r="C43" t="s">
        <v>169</v>
      </c>
      <c r="D43" t="s">
        <v>167</v>
      </c>
      <c r="E43" t="s">
        <v>142</v>
      </c>
    </row>
    <row r="44" spans="1:10">
      <c r="A44" t="s">
        <v>163</v>
      </c>
      <c r="B44" t="s">
        <v>163</v>
      </c>
      <c r="C44" t="s">
        <v>168</v>
      </c>
      <c r="D44" t="s">
        <v>166</v>
      </c>
      <c r="E44" t="s">
        <v>138</v>
      </c>
    </row>
    <row r="45" spans="1:10">
      <c r="A45" t="s">
        <v>163</v>
      </c>
      <c r="B45" t="s">
        <v>164</v>
      </c>
      <c r="C45" t="s">
        <v>168</v>
      </c>
      <c r="D45" t="s">
        <v>166</v>
      </c>
      <c r="E45" t="s">
        <v>140</v>
      </c>
    </row>
    <row r="46" spans="1:10">
      <c r="A46" t="s">
        <v>163</v>
      </c>
      <c r="B46" t="s">
        <v>163</v>
      </c>
      <c r="C46" t="s">
        <v>169</v>
      </c>
      <c r="D46" t="s">
        <v>167</v>
      </c>
      <c r="E46" t="s">
        <v>174</v>
      </c>
    </row>
    <row r="47" spans="1:10">
      <c r="A47" t="s">
        <v>163</v>
      </c>
      <c r="B47" t="s">
        <v>164</v>
      </c>
      <c r="C47" t="s">
        <v>169</v>
      </c>
      <c r="D47" t="s">
        <v>167</v>
      </c>
      <c r="E47" t="s">
        <v>141</v>
      </c>
    </row>
  </sheetData>
  <conditionalFormatting sqref="H3:V17">
    <cfRule type="expression" dxfId="0" priority="1">
      <formula>NOT(H3=H2)</formula>
    </cfRule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1" sqref="J11"/>
    </sheetView>
  </sheetViews>
  <sheetFormatPr defaultRowHeight="15"/>
  <cols>
    <col min="1" max="9" width="10.28515625" bestFit="1" customWidth="1"/>
    <col min="10" max="17" width="15.140625" bestFit="1" customWidth="1"/>
  </cols>
  <sheetData>
    <row r="1" spans="1:17">
      <c r="A1" t="s">
        <v>164</v>
      </c>
      <c r="B1" t="s">
        <v>164</v>
      </c>
      <c r="C1" t="s">
        <v>164</v>
      </c>
      <c r="D1" t="s">
        <v>164</v>
      </c>
      <c r="E1" t="s">
        <v>163</v>
      </c>
      <c r="F1" t="s">
        <v>163</v>
      </c>
      <c r="G1" t="s">
        <v>163</v>
      </c>
      <c r="H1" t="s">
        <v>163</v>
      </c>
      <c r="J1" t="s">
        <v>164</v>
      </c>
      <c r="K1" t="s">
        <v>164</v>
      </c>
      <c r="L1" t="s">
        <v>164</v>
      </c>
      <c r="M1" t="s">
        <v>164</v>
      </c>
      <c r="N1" t="s">
        <v>163</v>
      </c>
      <c r="O1" t="s">
        <v>163</v>
      </c>
      <c r="P1" t="s">
        <v>163</v>
      </c>
      <c r="Q1" t="s">
        <v>163</v>
      </c>
    </row>
    <row r="2" spans="1:17">
      <c r="A2" t="s">
        <v>163</v>
      </c>
      <c r="B2" t="s">
        <v>164</v>
      </c>
      <c r="C2" t="s">
        <v>163</v>
      </c>
      <c r="D2" t="s">
        <v>164</v>
      </c>
      <c r="E2" t="s">
        <v>163</v>
      </c>
      <c r="F2" t="s">
        <v>164</v>
      </c>
      <c r="G2" t="s">
        <v>163</v>
      </c>
      <c r="H2" t="s">
        <v>164</v>
      </c>
      <c r="J2" t="s">
        <v>163</v>
      </c>
      <c r="K2" t="s">
        <v>164</v>
      </c>
      <c r="L2" t="s">
        <v>163</v>
      </c>
      <c r="M2" t="s">
        <v>164</v>
      </c>
      <c r="N2" t="s">
        <v>163</v>
      </c>
      <c r="O2" t="s">
        <v>164</v>
      </c>
      <c r="P2" t="s">
        <v>163</v>
      </c>
      <c r="Q2" t="s">
        <v>164</v>
      </c>
    </row>
    <row r="3" spans="1:17">
      <c r="A3" t="s">
        <v>168</v>
      </c>
      <c r="B3" t="s">
        <v>168</v>
      </c>
      <c r="C3" t="s">
        <v>169</v>
      </c>
      <c r="D3" t="s">
        <v>169</v>
      </c>
      <c r="E3" t="s">
        <v>168</v>
      </c>
      <c r="F3" t="s">
        <v>168</v>
      </c>
      <c r="G3" t="s">
        <v>169</v>
      </c>
      <c r="H3" t="s">
        <v>169</v>
      </c>
      <c r="J3" t="s">
        <v>166</v>
      </c>
      <c r="K3" t="s">
        <v>166</v>
      </c>
      <c r="L3" t="s">
        <v>167</v>
      </c>
      <c r="M3" t="s">
        <v>167</v>
      </c>
      <c r="N3" t="s">
        <v>166</v>
      </c>
      <c r="O3" t="s">
        <v>166</v>
      </c>
      <c r="P3" t="s">
        <v>167</v>
      </c>
      <c r="Q3" t="s">
        <v>167</v>
      </c>
    </row>
    <row r="4" spans="1:17">
      <c r="A4" t="s">
        <v>139</v>
      </c>
      <c r="B4" t="s">
        <v>165</v>
      </c>
      <c r="C4" t="s">
        <v>143</v>
      </c>
      <c r="D4" t="s">
        <v>142</v>
      </c>
      <c r="E4" t="s">
        <v>138</v>
      </c>
      <c r="F4" t="s">
        <v>140</v>
      </c>
      <c r="G4" t="s">
        <v>165</v>
      </c>
      <c r="H4" t="s">
        <v>141</v>
      </c>
      <c r="J4" t="s">
        <v>139</v>
      </c>
      <c r="K4" t="s">
        <v>165</v>
      </c>
      <c r="L4" t="s">
        <v>143</v>
      </c>
      <c r="M4" t="s">
        <v>142</v>
      </c>
      <c r="N4" t="s">
        <v>138</v>
      </c>
      <c r="O4" t="s">
        <v>140</v>
      </c>
      <c r="P4" t="s">
        <v>165</v>
      </c>
      <c r="Q4" t="s">
        <v>141</v>
      </c>
    </row>
    <row r="6" spans="1:17">
      <c r="B6" t="s">
        <v>174</v>
      </c>
      <c r="G6" t="s">
        <v>173</v>
      </c>
    </row>
    <row r="7" spans="1:17">
      <c r="A7" t="str">
        <f>IF(A1="T","( a&gt; || b&gt; )","( &lt;a || &lt;b )")</f>
        <v>( &lt;a || &lt;b )</v>
      </c>
      <c r="B7" t="str">
        <f t="shared" ref="B7:H7" si="0">IF(B1="T","( a&gt; || b&gt; )","( &lt;a || &lt;b )")</f>
        <v>( &lt;a || &lt;b )</v>
      </c>
      <c r="C7" t="str">
        <f t="shared" si="0"/>
        <v>( &lt;a || &lt;b )</v>
      </c>
      <c r="D7" t="str">
        <f t="shared" si="0"/>
        <v>( &lt;a || &lt;b )</v>
      </c>
      <c r="E7" t="str">
        <f t="shared" si="0"/>
        <v>( a&gt; || b&gt; )</v>
      </c>
      <c r="F7" t="str">
        <f t="shared" si="0"/>
        <v>( a&gt; || b&gt; )</v>
      </c>
      <c r="G7" t="str">
        <f t="shared" si="0"/>
        <v>( a&gt; || b&gt; )</v>
      </c>
      <c r="H7" t="str">
        <f t="shared" si="0"/>
        <v>( a&gt; || b&gt; )</v>
      </c>
      <c r="J7" t="str">
        <f t="shared" ref="J7:Q7" si="1">IF(J1="T","( a&gt; || b&gt; )","( &lt;a || &lt;b )")</f>
        <v>( &lt;a || &lt;b )</v>
      </c>
      <c r="K7" t="str">
        <f t="shared" si="1"/>
        <v>( &lt;a || &lt;b )</v>
      </c>
      <c r="L7" t="str">
        <f t="shared" si="1"/>
        <v>( &lt;a || &lt;b )</v>
      </c>
      <c r="M7" t="str">
        <f t="shared" si="1"/>
        <v>( &lt;a || &lt;b )</v>
      </c>
      <c r="N7" t="str">
        <f t="shared" si="1"/>
        <v>( a&gt; || b&gt; )</v>
      </c>
      <c r="O7" t="str">
        <f t="shared" si="1"/>
        <v>( a&gt; || b&gt; )</v>
      </c>
      <c r="P7" t="str">
        <f t="shared" si="1"/>
        <v>( a&gt; || b&gt; )</v>
      </c>
      <c r="Q7" t="str">
        <f t="shared" si="1"/>
        <v>( a&gt; || b&gt; )</v>
      </c>
    </row>
    <row r="8" spans="1:17">
      <c r="A8" t="str">
        <f>IF(A2="T","( b&gt; || c&gt; )","( &lt;b || &lt;c )")</f>
        <v>( b&gt; || c&gt; )</v>
      </c>
      <c r="B8" t="str">
        <f t="shared" ref="B8:H8" si="2">IF(B2="T","( b&gt; || c&gt; )","( &lt;b || &lt;c )")</f>
        <v>( &lt;b || &lt;c )</v>
      </c>
      <c r="C8" t="str">
        <f t="shared" si="2"/>
        <v>( b&gt; || c&gt; )</v>
      </c>
      <c r="D8" t="str">
        <f t="shared" si="2"/>
        <v>( &lt;b || &lt;c )</v>
      </c>
      <c r="E8" t="str">
        <f t="shared" si="2"/>
        <v>( b&gt; || c&gt; )</v>
      </c>
      <c r="F8" t="str">
        <f t="shared" si="2"/>
        <v>( &lt;b || &lt;c )</v>
      </c>
      <c r="G8" t="str">
        <f t="shared" si="2"/>
        <v>( b&gt; || c&gt; )</v>
      </c>
      <c r="H8" t="str">
        <f t="shared" si="2"/>
        <v>( &lt;b || &lt;c )</v>
      </c>
      <c r="J8" t="str">
        <f t="shared" ref="J8:Q8" si="3">IF(J2="T","( b&gt; || c&gt; )","( &lt;b || &lt;c )")</f>
        <v>( b&gt; || c&gt; )</v>
      </c>
      <c r="K8" t="str">
        <f t="shared" si="3"/>
        <v>( &lt;b || &lt;c )</v>
      </c>
      <c r="L8" t="str">
        <f t="shared" si="3"/>
        <v>( b&gt; || c&gt; )</v>
      </c>
      <c r="M8" t="str">
        <f t="shared" si="3"/>
        <v>( &lt;b || &lt;c )</v>
      </c>
      <c r="N8" t="str">
        <f t="shared" si="3"/>
        <v>( b&gt; || c&gt; )</v>
      </c>
      <c r="O8" t="str">
        <f t="shared" si="3"/>
        <v>( &lt;b || &lt;c )</v>
      </c>
      <c r="P8" t="str">
        <f t="shared" si="3"/>
        <v>( b&gt; || c&gt; )</v>
      </c>
      <c r="Q8" t="str">
        <f t="shared" si="3"/>
        <v>( &lt;b || &lt;c )</v>
      </c>
    </row>
    <row r="9" spans="1:17">
      <c r="A9" t="str">
        <f>IF(A3="h1","( &lt;a || &lt;c )","( a&gt; || c&gt; )")</f>
        <v>( &lt;a || &lt;c )</v>
      </c>
      <c r="B9" t="str">
        <f t="shared" ref="B9:H9" si="4">IF(B3="h1","( &lt;a || &lt;c )","( a&gt; || c&gt; )")</f>
        <v>( &lt;a || &lt;c )</v>
      </c>
      <c r="C9" t="str">
        <f t="shared" si="4"/>
        <v>( a&gt; || c&gt; )</v>
      </c>
      <c r="D9" t="str">
        <f t="shared" si="4"/>
        <v>( a&gt; || c&gt; )</v>
      </c>
      <c r="E9" t="str">
        <f t="shared" si="4"/>
        <v>( &lt;a || &lt;c )</v>
      </c>
      <c r="F9" t="str">
        <f t="shared" si="4"/>
        <v>( &lt;a || &lt;c )</v>
      </c>
      <c r="G9" t="str">
        <f t="shared" si="4"/>
        <v>( a&gt; || c&gt; )</v>
      </c>
      <c r="H9" t="str">
        <f t="shared" si="4"/>
        <v>( a&gt; || c&gt; )</v>
      </c>
      <c r="J9" t="str">
        <f>IF(J3="hT","( &lt;a || b&gt; || &lt;c )","( a&gt; || &lt;b || c&gt; )")</f>
        <v>( &lt;a || b&gt; || &lt;c )</v>
      </c>
      <c r="K9" t="str">
        <f t="shared" ref="K9:Q9" si="5">IF(K3="hT","( &lt;a || b&gt; || &lt;c )","( a&gt; || &lt;b || c&gt; )")</f>
        <v>( &lt;a || b&gt; || &lt;c )</v>
      </c>
      <c r="L9" t="str">
        <f t="shared" si="5"/>
        <v>( a&gt; || &lt;b || c&gt; )</v>
      </c>
      <c r="M9" t="str">
        <f t="shared" si="5"/>
        <v>( a&gt; || &lt;b || c&gt; )</v>
      </c>
      <c r="N9" t="str">
        <f t="shared" si="5"/>
        <v>( &lt;a || b&gt; || &lt;c )</v>
      </c>
      <c r="O9" t="str">
        <f t="shared" si="5"/>
        <v>( &lt;a || b&gt; || &lt;c )</v>
      </c>
      <c r="P9" t="str">
        <f t="shared" si="5"/>
        <v>( a&gt; || &lt;b || c&gt; )</v>
      </c>
      <c r="Q9" t="str">
        <f t="shared" si="5"/>
        <v>( a&gt; || &lt;b || c&gt; 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TwoCorners_1</vt:lpstr>
      <vt:lpstr>TwoCorners_2</vt:lpstr>
      <vt:lpstr>TwoCorners_3</vt:lpstr>
      <vt:lpstr>TwoCorners_4</vt:lpstr>
      <vt:lpstr>TwoCorners_5</vt:lpstr>
      <vt:lpstr>TwoCorners_6</vt:lpstr>
      <vt:lpstr>TwoCorners_7</vt:lpstr>
      <vt:lpstr>Square</vt:lpstr>
      <vt:lpstr>Sheet6</vt:lpstr>
      <vt:lpstr>Intersection</vt:lpstr>
      <vt:lpstr>2Segments</vt:lpstr>
      <vt:lpstr>3Corners</vt:lpstr>
      <vt:lpstr>Sheet1</vt:lpstr>
      <vt:lpstr>Sheet1 (2)</vt:lpstr>
      <vt:lpstr>Sheet2</vt:lpstr>
      <vt:lpstr>'Sheet1 (2)'!m</vt:lpstr>
      <vt:lpstr>m</vt:lpstr>
      <vt:lpstr>'Sheet1 (2)'!ma</vt:lpstr>
      <vt:lpstr>ma</vt:lpstr>
      <vt:lpstr>'Sheet1 (2)'!mac</vt:lpstr>
      <vt:lpstr>mac</vt:lpstr>
      <vt:lpstr>'Sheet1 (2)'!mb</vt:lpstr>
      <vt:lpstr>mb</vt:lpstr>
      <vt:lpstr>'Sheet1 (2)'!mc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Hubley (CarteNav)</dc:creator>
  <cp:lastModifiedBy>Gary Hubley (CarteNav)</cp:lastModifiedBy>
  <dcterms:created xsi:type="dcterms:W3CDTF">2017-01-04T12:51:23Z</dcterms:created>
  <dcterms:modified xsi:type="dcterms:W3CDTF">2017-01-26T16:53:32Z</dcterms:modified>
</cp:coreProperties>
</file>