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defaultThemeVersion="124226"/>
  <mc:AlternateContent xmlns:mc="http://schemas.openxmlformats.org/markup-compatibility/2006">
    <mc:Choice Requires="x15">
      <x15ac:absPath xmlns:x15ac="http://schemas.microsoft.com/office/spreadsheetml/2010/11/ac" url="/Users/garyliggins/Desktop/"/>
    </mc:Choice>
  </mc:AlternateContent>
  <xr:revisionPtr revIDLastSave="0" documentId="13_ncr:1_{D537C514-B208-C44F-AA63-D601155A9316}" xr6:coauthVersionLast="47" xr6:coauthVersionMax="47" xr10:uidLastSave="{00000000-0000-0000-0000-000000000000}"/>
  <bookViews>
    <workbookView xWindow="-2540" yWindow="-18960" windowWidth="28180" windowHeight="17460" activeTab="3" xr2:uid="{00000000-000D-0000-FFFF-FFFF00000000}"/>
  </bookViews>
  <sheets>
    <sheet name="Monthly Summary" sheetId="2" r:id="rId1"/>
    <sheet name="Annual Summary" sheetId="1" r:id="rId2"/>
    <sheet name="Sales and Assumptions" sheetId="3" r:id="rId3"/>
    <sheet name="Sources" sheetId="4" r:id="rId4"/>
    <sheet name="Sources copy" sheetId="8" r:id="rId5"/>
    <sheet name="Sales and Assumptions copy" sheetId="5" r:id="rId6"/>
    <sheet name="Monthly Summary copy" sheetId="6" r:id="rId7"/>
    <sheet name="Annual Summary copy" sheetId="7" r:id="rId8"/>
  </sheets>
  <definedNames>
    <definedName name="_Order1" hidden="1">255</definedName>
    <definedName name="_xlnm.Print_Area" localSheetId="1">'Annual Summary'!$A$1:$L$49</definedName>
    <definedName name="_xlnm.Print_Area" localSheetId="7">'Annual Summary copy'!$A$1:$L$49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8" l="1"/>
  <c r="B2" i="8"/>
  <c r="A70" i="7"/>
  <c r="A68" i="7"/>
  <c r="D67" i="7"/>
  <c r="A67" i="7"/>
  <c r="A65" i="7"/>
  <c r="A64" i="7"/>
  <c r="A63" i="7"/>
  <c r="A62" i="7"/>
  <c r="A61" i="7"/>
  <c r="A60" i="7"/>
  <c r="A59" i="7"/>
  <c r="A58" i="7"/>
  <c r="A57" i="7"/>
  <c r="A56" i="7"/>
  <c r="A55" i="7"/>
  <c r="A53" i="7"/>
  <c r="A52" i="7"/>
  <c r="A51" i="7"/>
  <c r="A50" i="7"/>
  <c r="A49" i="7"/>
  <c r="A48" i="7"/>
  <c r="A47" i="7"/>
  <c r="C46" i="7"/>
  <c r="A46" i="7"/>
  <c r="A45" i="7"/>
  <c r="C44" i="7"/>
  <c r="A44" i="7"/>
  <c r="A43" i="7"/>
  <c r="A41" i="7"/>
  <c r="A40" i="7"/>
  <c r="A39" i="7"/>
  <c r="C38" i="7"/>
  <c r="A38" i="7"/>
  <c r="A37" i="7"/>
  <c r="A36" i="7"/>
  <c r="A35" i="7"/>
  <c r="A34" i="7"/>
  <c r="A33" i="7"/>
  <c r="A32" i="7"/>
  <c r="A30" i="7"/>
  <c r="C29" i="7"/>
  <c r="A29" i="7"/>
  <c r="C28" i="7"/>
  <c r="A28" i="7"/>
  <c r="C27" i="7"/>
  <c r="A27" i="7"/>
  <c r="A26" i="7"/>
  <c r="A24" i="7"/>
  <c r="A23" i="7"/>
  <c r="A22" i="7"/>
  <c r="A21" i="7"/>
  <c r="C20" i="7"/>
  <c r="C49" i="7" s="1"/>
  <c r="C51" i="7" s="1"/>
  <c r="A19" i="7"/>
  <c r="A18" i="7"/>
  <c r="A16" i="7"/>
  <c r="A15" i="7"/>
  <c r="A14" i="7"/>
  <c r="A13" i="7"/>
  <c r="A12" i="7"/>
  <c r="A10" i="7"/>
  <c r="A9" i="7"/>
  <c r="A8" i="7"/>
  <c r="A7" i="7"/>
  <c r="C6" i="7"/>
  <c r="C33" i="7" s="1"/>
  <c r="A6" i="7"/>
  <c r="BB69" i="6"/>
  <c r="Y65" i="6"/>
  <c r="W65" i="6"/>
  <c r="U65" i="6"/>
  <c r="S65" i="6"/>
  <c r="Q65" i="6"/>
  <c r="O65" i="6"/>
  <c r="M65" i="6"/>
  <c r="K65" i="6"/>
  <c r="I65" i="6"/>
  <c r="G65" i="6"/>
  <c r="E65" i="6"/>
  <c r="C65" i="6"/>
  <c r="C60" i="6"/>
  <c r="C58" i="6"/>
  <c r="AK47" i="6"/>
  <c r="AI47" i="6"/>
  <c r="Y45" i="6"/>
  <c r="W45" i="6"/>
  <c r="U45" i="6"/>
  <c r="S45" i="6"/>
  <c r="Q45" i="6"/>
  <c r="O45" i="6"/>
  <c r="M45" i="6"/>
  <c r="K45" i="6"/>
  <c r="I45" i="6"/>
  <c r="G45" i="6"/>
  <c r="E45" i="6"/>
  <c r="C45" i="6"/>
  <c r="AZ36" i="6"/>
  <c r="AX36" i="6"/>
  <c r="AV36" i="6"/>
  <c r="AT36" i="6"/>
  <c r="AR36" i="6"/>
  <c r="AP36" i="6"/>
  <c r="AN36" i="6"/>
  <c r="AK36" i="6"/>
  <c r="AI36" i="6"/>
  <c r="AG36" i="6"/>
  <c r="AE36" i="6"/>
  <c r="AC36" i="6"/>
  <c r="Y36" i="6"/>
  <c r="W36" i="6"/>
  <c r="U36" i="6"/>
  <c r="S36" i="6"/>
  <c r="Q36" i="6"/>
  <c r="O36" i="6"/>
  <c r="M36" i="6"/>
  <c r="K36" i="6"/>
  <c r="I36" i="6"/>
  <c r="G36" i="6"/>
  <c r="E36" i="6"/>
  <c r="C36" i="6"/>
  <c r="BB11" i="6"/>
  <c r="AA6" i="6"/>
  <c r="F23" i="5"/>
  <c r="K22" i="5"/>
  <c r="J22" i="5"/>
  <c r="I22" i="5"/>
  <c r="H22" i="5"/>
  <c r="G22" i="5"/>
  <c r="F22" i="5"/>
  <c r="L21" i="5"/>
  <c r="K21" i="5"/>
  <c r="J21" i="5"/>
  <c r="I21" i="5"/>
  <c r="H21" i="5"/>
  <c r="G21" i="5"/>
  <c r="F21" i="5"/>
  <c r="K20" i="5"/>
  <c r="L20" i="5" s="1"/>
  <c r="J20" i="5"/>
  <c r="I20" i="5"/>
  <c r="H20" i="5"/>
  <c r="G20" i="5"/>
  <c r="F20" i="5"/>
  <c r="K19" i="5"/>
  <c r="J19" i="5"/>
  <c r="L19" i="5" s="1"/>
  <c r="I19" i="5"/>
  <c r="H19" i="5"/>
  <c r="G19" i="5"/>
  <c r="F19" i="5"/>
  <c r="K18" i="5"/>
  <c r="J18" i="5"/>
  <c r="I18" i="5"/>
  <c r="H18" i="5"/>
  <c r="G18" i="5"/>
  <c r="L18" i="5" s="1"/>
  <c r="F18" i="5"/>
  <c r="K17" i="5"/>
  <c r="J17" i="5"/>
  <c r="I17" i="5"/>
  <c r="H17" i="5"/>
  <c r="G17" i="5"/>
  <c r="F17" i="5"/>
  <c r="K16" i="5"/>
  <c r="J16" i="5"/>
  <c r="J23" i="5" s="1"/>
  <c r="J27" i="5" s="1"/>
  <c r="J28" i="5" s="1"/>
  <c r="I16" i="5"/>
  <c r="I23" i="5" s="1"/>
  <c r="I27" i="5" s="1"/>
  <c r="I28" i="5" s="1"/>
  <c r="H16" i="5"/>
  <c r="G16" i="5"/>
  <c r="F16" i="5"/>
  <c r="B12" i="5"/>
  <c r="B11" i="5"/>
  <c r="B10" i="5"/>
  <c r="B8" i="4"/>
  <c r="B2" i="4"/>
  <c r="D67" i="1"/>
  <c r="C6" i="1"/>
  <c r="A12" i="1"/>
  <c r="A13" i="1"/>
  <c r="A14" i="1"/>
  <c r="A15" i="1"/>
  <c r="A16" i="1"/>
  <c r="A18" i="1"/>
  <c r="A19" i="1"/>
  <c r="A21" i="1"/>
  <c r="A22" i="1"/>
  <c r="A23" i="1"/>
  <c r="A24" i="1"/>
  <c r="A26" i="1"/>
  <c r="A27" i="1"/>
  <c r="A28" i="1"/>
  <c r="A29" i="1"/>
  <c r="A30" i="1"/>
  <c r="A32" i="1"/>
  <c r="A33" i="1"/>
  <c r="A34" i="1"/>
  <c r="A35" i="1"/>
  <c r="A36" i="1"/>
  <c r="A37" i="1"/>
  <c r="A38" i="1"/>
  <c r="A39" i="1"/>
  <c r="A40" i="1"/>
  <c r="A41" i="1"/>
  <c r="A43" i="1"/>
  <c r="A44" i="1"/>
  <c r="A45" i="1"/>
  <c r="A46" i="1"/>
  <c r="A47" i="1"/>
  <c r="A48" i="1"/>
  <c r="A49" i="1"/>
  <c r="A50" i="1"/>
  <c r="A51" i="1"/>
  <c r="A52" i="1"/>
  <c r="A53" i="1"/>
  <c r="A55" i="1"/>
  <c r="A56" i="1"/>
  <c r="A57" i="1"/>
  <c r="A58" i="1"/>
  <c r="A59" i="1"/>
  <c r="A60" i="1"/>
  <c r="A61" i="1"/>
  <c r="A62" i="1"/>
  <c r="A63" i="1"/>
  <c r="A64" i="1"/>
  <c r="A65" i="1"/>
  <c r="A67" i="1"/>
  <c r="A68" i="1"/>
  <c r="A70" i="1"/>
  <c r="A7" i="1"/>
  <c r="A8" i="1"/>
  <c r="A9" i="1"/>
  <c r="A10" i="1"/>
  <c r="A6" i="1"/>
  <c r="Y45" i="2"/>
  <c r="W45" i="2"/>
  <c r="U45" i="2"/>
  <c r="S45" i="2"/>
  <c r="Q45" i="2"/>
  <c r="O45" i="2"/>
  <c r="M45" i="2"/>
  <c r="K45" i="2"/>
  <c r="I45" i="2"/>
  <c r="G45" i="2"/>
  <c r="E45" i="2"/>
  <c r="C45" i="2"/>
  <c r="C20" i="1"/>
  <c r="J16" i="3"/>
  <c r="B11" i="3"/>
  <c r="B10" i="3"/>
  <c r="L22" i="5" l="1"/>
  <c r="K23" i="5"/>
  <c r="K27" i="5" s="1"/>
  <c r="K28" i="5" s="1"/>
  <c r="H23" i="5"/>
  <c r="H27" i="5" s="1"/>
  <c r="H28" i="5" s="1"/>
  <c r="L17" i="5"/>
  <c r="L16" i="5"/>
  <c r="G23" i="5"/>
  <c r="G27" i="5" s="1"/>
  <c r="F27" i="5"/>
  <c r="BB11" i="2"/>
  <c r="BB69" i="2"/>
  <c r="AZ36" i="2"/>
  <c r="AX36" i="2"/>
  <c r="AV36" i="2"/>
  <c r="AT36" i="2"/>
  <c r="AR36" i="2"/>
  <c r="AP36" i="2"/>
  <c r="AN36" i="2"/>
  <c r="AK47" i="2"/>
  <c r="AK36" i="2"/>
  <c r="O27" i="5" l="1"/>
  <c r="N27" i="5"/>
  <c r="G28" i="5"/>
  <c r="M27" i="5"/>
  <c r="F28" i="5"/>
  <c r="D24" i="5"/>
  <c r="C27" i="5" s="1"/>
  <c r="C28" i="5" s="1"/>
  <c r="AA6" i="2"/>
  <c r="AC36" i="2"/>
  <c r="C27" i="1" l="1"/>
  <c r="C28" i="1"/>
  <c r="C29" i="1" s="1"/>
  <c r="C33" i="1"/>
  <c r="C38" i="1"/>
  <c r="C44" i="1"/>
  <c r="C46" i="1"/>
  <c r="C49" i="1" l="1"/>
  <c r="C51" i="1" s="1"/>
  <c r="C58" i="2"/>
  <c r="C36" i="2"/>
  <c r="C60" i="2"/>
  <c r="E36" i="2"/>
  <c r="G36" i="2"/>
  <c r="I36" i="2"/>
  <c r="K36" i="2"/>
  <c r="M36" i="2"/>
  <c r="O36" i="2"/>
  <c r="Q36" i="2"/>
  <c r="S36" i="2"/>
  <c r="U36" i="2"/>
  <c r="W36" i="2"/>
  <c r="Y36" i="2"/>
  <c r="AE36" i="2"/>
  <c r="AG36" i="2"/>
  <c r="AI47" i="2"/>
  <c r="AI36" i="2"/>
  <c r="G16" i="3"/>
  <c r="G19" i="3"/>
  <c r="G20" i="3"/>
  <c r="G21" i="3"/>
  <c r="H16" i="3"/>
  <c r="J17" i="3"/>
  <c r="K17" i="3"/>
  <c r="K16" i="3"/>
  <c r="I17" i="3"/>
  <c r="F18" i="3"/>
  <c r="F17" i="3" l="1"/>
  <c r="I19" i="3"/>
  <c r="G22" i="3"/>
  <c r="G18" i="3"/>
  <c r="F21" i="3"/>
  <c r="I20" i="3"/>
  <c r="F16" i="3"/>
  <c r="I16" i="3"/>
  <c r="G17" i="3"/>
  <c r="J20" i="3"/>
  <c r="H19" i="3"/>
  <c r="F20" i="3"/>
  <c r="F19" i="3"/>
  <c r="K20" i="3"/>
  <c r="J19" i="3"/>
  <c r="H22" i="3"/>
  <c r="K22" i="3"/>
  <c r="K18" i="3"/>
  <c r="H21" i="3"/>
  <c r="H17" i="3"/>
  <c r="K19" i="3"/>
  <c r="H18" i="3"/>
  <c r="K21" i="3"/>
  <c r="H20" i="3"/>
  <c r="J22" i="3"/>
  <c r="J18" i="3"/>
  <c r="J21" i="3"/>
  <c r="I22" i="3"/>
  <c r="I18" i="3"/>
  <c r="F22" i="3"/>
  <c r="I21" i="3"/>
  <c r="L16" i="3" l="1"/>
  <c r="L17" i="3"/>
  <c r="L18" i="3"/>
  <c r="G23" i="3"/>
  <c r="G27" i="3" s="1"/>
  <c r="G28" i="3" s="1"/>
  <c r="L22" i="3"/>
  <c r="L21" i="3"/>
  <c r="L19" i="3"/>
  <c r="L20" i="3"/>
  <c r="F23" i="3"/>
  <c r="F27" i="3" s="1"/>
  <c r="K23" i="3"/>
  <c r="K27" i="3" s="1"/>
  <c r="K28" i="3" s="1"/>
  <c r="H23" i="3"/>
  <c r="J23" i="3"/>
  <c r="J27" i="3" s="1"/>
  <c r="I23" i="3"/>
  <c r="I27" i="3" s="1"/>
  <c r="I28" i="3" s="1"/>
  <c r="H27" i="3" l="1"/>
  <c r="D24" i="3"/>
  <c r="C27" i="3" s="1"/>
  <c r="C28" i="3" s="1"/>
  <c r="AA8" i="2"/>
  <c r="K8" i="2" s="1"/>
  <c r="AK8" i="2" s="1"/>
  <c r="AA8" i="6"/>
  <c r="F28" i="3"/>
  <c r="M27" i="3"/>
  <c r="J28" i="3"/>
  <c r="AA16" i="2" s="1"/>
  <c r="D16" i="7" s="1"/>
  <c r="N27" i="3"/>
  <c r="H28" i="3"/>
  <c r="O27" i="3"/>
  <c r="AA9" i="2" l="1"/>
  <c r="AA9" i="6"/>
  <c r="AA16" i="6"/>
  <c r="G8" i="2"/>
  <c r="AG8" i="2" s="1"/>
  <c r="U8" i="2"/>
  <c r="AV8" i="2" s="1"/>
  <c r="S8" i="2"/>
  <c r="AT8" i="2" s="1"/>
  <c r="M8" i="2"/>
  <c r="AN8" i="2" s="1"/>
  <c r="Y8" i="2"/>
  <c r="AZ8" i="2" s="1"/>
  <c r="E8" i="2"/>
  <c r="AE8" i="2" s="1"/>
  <c r="C8" i="2"/>
  <c r="AC8" i="2" s="1"/>
  <c r="I8" i="2"/>
  <c r="AI8" i="2" s="1"/>
  <c r="Y8" i="6"/>
  <c r="AZ8" i="6" s="1"/>
  <c r="I8" i="6"/>
  <c r="AI8" i="6" s="1"/>
  <c r="G8" i="6"/>
  <c r="AG8" i="6" s="1"/>
  <c r="C8" i="6"/>
  <c r="AC8" i="6" s="1"/>
  <c r="W8" i="6"/>
  <c r="AX8" i="6" s="1"/>
  <c r="S8" i="6"/>
  <c r="AT8" i="6" s="1"/>
  <c r="O8" i="6"/>
  <c r="AP8" i="6" s="1"/>
  <c r="Q8" i="6"/>
  <c r="AR8" i="6" s="1"/>
  <c r="K8" i="6"/>
  <c r="AK8" i="6" s="1"/>
  <c r="M8" i="6"/>
  <c r="AN8" i="6" s="1"/>
  <c r="E8" i="6"/>
  <c r="AE8" i="6" s="1"/>
  <c r="U8" i="6"/>
  <c r="AV8" i="6" s="1"/>
  <c r="D8" i="1"/>
  <c r="F8" i="1" s="1"/>
  <c r="H8" i="1" s="1"/>
  <c r="J8" i="1" s="1"/>
  <c r="D8" i="7"/>
  <c r="F8" i="7" s="1"/>
  <c r="H8" i="7" s="1"/>
  <c r="J8" i="7" s="1"/>
  <c r="L8" i="7" s="1"/>
  <c r="O8" i="2"/>
  <c r="AP8" i="2" s="1"/>
  <c r="W8" i="2"/>
  <c r="AX8" i="2" s="1"/>
  <c r="Q8" i="2"/>
  <c r="AR8" i="2" s="1"/>
  <c r="AA7" i="2"/>
  <c r="C7" i="2" s="1"/>
  <c r="AA7" i="6"/>
  <c r="K7" i="2"/>
  <c r="AK7" i="2" s="1"/>
  <c r="I7" i="2"/>
  <c r="AI7" i="2" s="1"/>
  <c r="S9" i="2"/>
  <c r="AT9" i="2" s="1"/>
  <c r="D9" i="1"/>
  <c r="F9" i="1" s="1"/>
  <c r="U9" i="2"/>
  <c r="AV9" i="2" s="1"/>
  <c r="O9" i="2"/>
  <c r="AP9" i="2" s="1"/>
  <c r="G7" i="2"/>
  <c r="AG7" i="2" s="1"/>
  <c r="W9" i="2"/>
  <c r="AX9" i="2" s="1"/>
  <c r="E9" i="2"/>
  <c r="AE9" i="2" s="1"/>
  <c r="G9" i="2"/>
  <c r="AG9" i="2" s="1"/>
  <c r="C16" i="2"/>
  <c r="D16" i="1"/>
  <c r="Q9" i="2"/>
  <c r="AR9" i="2" s="1"/>
  <c r="I9" i="2"/>
  <c r="AI9" i="2" s="1"/>
  <c r="M9" i="2"/>
  <c r="AN9" i="2" s="1"/>
  <c r="K9" i="2"/>
  <c r="AK9" i="2" s="1"/>
  <c r="Y9" i="2"/>
  <c r="AZ9" i="2" s="1"/>
  <c r="E16" i="2"/>
  <c r="E23" i="2" s="1"/>
  <c r="G16" i="2"/>
  <c r="G23" i="2" s="1"/>
  <c r="AA12" i="2"/>
  <c r="O16" i="2"/>
  <c r="O23" i="2" s="1"/>
  <c r="K16" i="2"/>
  <c r="AA15" i="2"/>
  <c r="I16" i="2"/>
  <c r="I23" i="2" s="1"/>
  <c r="S16" i="2"/>
  <c r="S23" i="2" s="1"/>
  <c r="M16" i="2"/>
  <c r="M23" i="2" s="1"/>
  <c r="Y16" i="2"/>
  <c r="Y23" i="2" s="1"/>
  <c r="W16" i="2"/>
  <c r="W23" i="2" s="1"/>
  <c r="Q16" i="2"/>
  <c r="Q23" i="2" s="1"/>
  <c r="AA13" i="2"/>
  <c r="U16" i="2"/>
  <c r="U23" i="2" s="1"/>
  <c r="AA14" i="2"/>
  <c r="M7" i="2" l="1"/>
  <c r="AN7" i="2" s="1"/>
  <c r="Y7" i="2"/>
  <c r="AZ7" i="2" s="1"/>
  <c r="S7" i="2"/>
  <c r="AT7" i="2" s="1"/>
  <c r="M9" i="6"/>
  <c r="AN9" i="6" s="1"/>
  <c r="E9" i="6"/>
  <c r="AE9" i="6" s="1"/>
  <c r="S9" i="6"/>
  <c r="AT9" i="6" s="1"/>
  <c r="O9" i="6"/>
  <c r="AP9" i="6" s="1"/>
  <c r="Q9" i="6"/>
  <c r="AR9" i="6" s="1"/>
  <c r="G9" i="6"/>
  <c r="AG9" i="6" s="1"/>
  <c r="K9" i="6"/>
  <c r="AK9" i="6" s="1"/>
  <c r="U9" i="6"/>
  <c r="AV9" i="6" s="1"/>
  <c r="Y9" i="6"/>
  <c r="AZ9" i="6" s="1"/>
  <c r="I9" i="6"/>
  <c r="AI9" i="6" s="1"/>
  <c r="C9" i="6"/>
  <c r="AC9" i="6" s="1"/>
  <c r="W9" i="6"/>
  <c r="AX9" i="6" s="1"/>
  <c r="C9" i="2"/>
  <c r="AC9" i="2" s="1"/>
  <c r="D9" i="7"/>
  <c r="F9" i="7" s="1"/>
  <c r="H9" i="7" s="1"/>
  <c r="J9" i="7" s="1"/>
  <c r="L9" i="7" s="1"/>
  <c r="M16" i="6"/>
  <c r="I16" i="6"/>
  <c r="Y16" i="6"/>
  <c r="K16" i="6"/>
  <c r="W16" i="6"/>
  <c r="O16" i="6"/>
  <c r="G16" i="6"/>
  <c r="AA13" i="6"/>
  <c r="S16" i="6"/>
  <c r="E16" i="6"/>
  <c r="AA14" i="6"/>
  <c r="Q16" i="6"/>
  <c r="AA15" i="6"/>
  <c r="C16" i="6"/>
  <c r="U16" i="6"/>
  <c r="AA12" i="6"/>
  <c r="D14" i="1"/>
  <c r="F14" i="1" s="1"/>
  <c r="H14" i="1" s="1"/>
  <c r="D14" i="7"/>
  <c r="F14" i="7" s="1"/>
  <c r="H14" i="7" s="1"/>
  <c r="J14" i="7" s="1"/>
  <c r="L14" i="7" s="1"/>
  <c r="D15" i="1"/>
  <c r="F15" i="1" s="1"/>
  <c r="D15" i="7"/>
  <c r="F15" i="7" s="1"/>
  <c r="H15" i="7" s="1"/>
  <c r="J15" i="7" s="1"/>
  <c r="L15" i="7" s="1"/>
  <c r="D13" i="1"/>
  <c r="F13" i="1" s="1"/>
  <c r="H13" i="1" s="1"/>
  <c r="D13" i="7"/>
  <c r="F13" i="7" s="1"/>
  <c r="H13" i="7" s="1"/>
  <c r="J13" i="7" s="1"/>
  <c r="L13" i="7" s="1"/>
  <c r="D12" i="1"/>
  <c r="F12" i="1" s="1"/>
  <c r="H12" i="1" s="1"/>
  <c r="D12" i="7"/>
  <c r="F12" i="7" s="1"/>
  <c r="H12" i="7" s="1"/>
  <c r="U7" i="2"/>
  <c r="AV7" i="2" s="1"/>
  <c r="W7" i="2"/>
  <c r="AX7" i="2" s="1"/>
  <c r="AX10" i="2" s="1"/>
  <c r="E7" i="2"/>
  <c r="AE7" i="2" s="1"/>
  <c r="O7" i="2"/>
  <c r="AP7" i="2" s="1"/>
  <c r="AP10" i="2" s="1"/>
  <c r="Q7" i="2"/>
  <c r="AR7" i="2" s="1"/>
  <c r="AR10" i="2" s="1"/>
  <c r="G7" i="6"/>
  <c r="K7" i="6"/>
  <c r="E7" i="6"/>
  <c r="W7" i="6"/>
  <c r="C7" i="6"/>
  <c r="O7" i="6"/>
  <c r="M7" i="6"/>
  <c r="U7" i="6"/>
  <c r="AA10" i="6"/>
  <c r="S7" i="6"/>
  <c r="Y7" i="6"/>
  <c r="Q7" i="6"/>
  <c r="I7" i="6"/>
  <c r="D7" i="1"/>
  <c r="F7" i="1" s="1"/>
  <c r="H7" i="1" s="1"/>
  <c r="J7" i="1" s="1"/>
  <c r="D7" i="7"/>
  <c r="F7" i="7" s="1"/>
  <c r="S10" i="2"/>
  <c r="S19" i="2" s="1"/>
  <c r="S44" i="2" s="1"/>
  <c r="AK22" i="2"/>
  <c r="O10" i="2"/>
  <c r="O19" i="2" s="1"/>
  <c r="O44" i="2" s="1"/>
  <c r="AG22" i="2"/>
  <c r="C12" i="2"/>
  <c r="AC12" i="2" s="1"/>
  <c r="C23" i="2"/>
  <c r="K15" i="2"/>
  <c r="AK15" i="2" s="1"/>
  <c r="K23" i="2"/>
  <c r="E10" i="2"/>
  <c r="E19" i="2" s="1"/>
  <c r="E44" i="2" s="1"/>
  <c r="AC7" i="2"/>
  <c r="AC10" i="2" s="1"/>
  <c r="S22" i="2"/>
  <c r="S24" i="2" s="1"/>
  <c r="C10" i="2"/>
  <c r="C19" i="2" s="1"/>
  <c r="AT10" i="2"/>
  <c r="AE22" i="2"/>
  <c r="Q22" i="2"/>
  <c r="Q24" i="2" s="1"/>
  <c r="Q10" i="2"/>
  <c r="Q19" i="2" s="1"/>
  <c r="Q44" i="2" s="1"/>
  <c r="O22" i="2"/>
  <c r="O24" i="2" s="1"/>
  <c r="U10" i="2"/>
  <c r="U19" i="2" s="1"/>
  <c r="U44" i="2" s="1"/>
  <c r="AV22" i="2"/>
  <c r="U22" i="2"/>
  <c r="Y10" i="2"/>
  <c r="Y19" i="2" s="1"/>
  <c r="Y44" i="2" s="1"/>
  <c r="AZ22" i="2"/>
  <c r="AC16" i="2"/>
  <c r="AC23" i="2" s="1"/>
  <c r="H15" i="1"/>
  <c r="L8" i="1"/>
  <c r="W22" i="2"/>
  <c r="W24" i="2" s="1"/>
  <c r="C14" i="2"/>
  <c r="AC14" i="2" s="1"/>
  <c r="G22" i="2"/>
  <c r="G24" i="2" s="1"/>
  <c r="C13" i="2"/>
  <c r="AC13" i="2" s="1"/>
  <c r="G10" i="2"/>
  <c r="G19" i="2" s="1"/>
  <c r="G44" i="2" s="1"/>
  <c r="C15" i="2"/>
  <c r="AC15" i="2" s="1"/>
  <c r="H9" i="1"/>
  <c r="H10" i="1" s="1"/>
  <c r="AI22" i="2"/>
  <c r="I22" i="2"/>
  <c r="I10" i="2"/>
  <c r="I19" i="2" s="1"/>
  <c r="I44" i="2" s="1"/>
  <c r="S13" i="2"/>
  <c r="AT13" i="2" s="1"/>
  <c r="E14" i="2"/>
  <c r="AE14" i="2" s="1"/>
  <c r="Y22" i="2"/>
  <c r="AK16" i="2"/>
  <c r="AK23" i="2" s="1"/>
  <c r="Y13" i="2"/>
  <c r="AZ13" i="2" s="1"/>
  <c r="O14" i="2"/>
  <c r="AP14" i="2" s="1"/>
  <c r="M65" i="2"/>
  <c r="M10" i="2"/>
  <c r="M19" i="2" s="1"/>
  <c r="M44" i="2" s="1"/>
  <c r="AN10" i="2"/>
  <c r="K22" i="2"/>
  <c r="M22" i="2"/>
  <c r="M24" i="2" s="1"/>
  <c r="K10" i="2"/>
  <c r="K19" i="2" s="1"/>
  <c r="K44" i="2" s="1"/>
  <c r="I12" i="2"/>
  <c r="AI12" i="2" s="1"/>
  <c r="I13" i="2"/>
  <c r="AI13" i="2" s="1"/>
  <c r="AI16" i="2"/>
  <c r="AI23" i="2" s="1"/>
  <c r="I15" i="2"/>
  <c r="AI15" i="2" s="1"/>
  <c r="I14" i="2"/>
  <c r="AI14" i="2" s="1"/>
  <c r="S14" i="2"/>
  <c r="AT14" i="2" s="1"/>
  <c r="S15" i="2"/>
  <c r="AT15" i="2" s="1"/>
  <c r="S12" i="2"/>
  <c r="AT12" i="2" s="1"/>
  <c r="M15" i="2"/>
  <c r="AN15" i="2" s="1"/>
  <c r="AG16" i="2"/>
  <c r="AG23" i="2" s="1"/>
  <c r="O15" i="2"/>
  <c r="AP15" i="2" s="1"/>
  <c r="M14" i="2"/>
  <c r="AN14" i="2" s="1"/>
  <c r="G13" i="2"/>
  <c r="AG13" i="2" s="1"/>
  <c r="K12" i="2"/>
  <c r="AK12" i="2" s="1"/>
  <c r="Y14" i="2"/>
  <c r="AZ14" i="2" s="1"/>
  <c r="G65" i="2"/>
  <c r="S65" i="2"/>
  <c r="K13" i="2"/>
  <c r="AK13" i="2" s="1"/>
  <c r="E13" i="2"/>
  <c r="AE13" i="2" s="1"/>
  <c r="G14" i="2"/>
  <c r="AG14" i="2" s="1"/>
  <c r="Y65" i="2"/>
  <c r="U14" i="2"/>
  <c r="AV14" i="2" s="1"/>
  <c r="O12" i="2"/>
  <c r="AP12" i="2" s="1"/>
  <c r="U13" i="2"/>
  <c r="AV13" i="2" s="1"/>
  <c r="G12" i="2"/>
  <c r="AG12" i="2" s="1"/>
  <c r="U12" i="2"/>
  <c r="AV12" i="2" s="1"/>
  <c r="AP16" i="2"/>
  <c r="AP56" i="2" s="1"/>
  <c r="O13" i="2"/>
  <c r="AP13" i="2" s="1"/>
  <c r="M13" i="2"/>
  <c r="AN13" i="2" s="1"/>
  <c r="U15" i="2"/>
  <c r="AV15" i="2" s="1"/>
  <c r="G15" i="2"/>
  <c r="AG15" i="2" s="1"/>
  <c r="O65" i="2"/>
  <c r="M12" i="2"/>
  <c r="AN12" i="2" s="1"/>
  <c r="AN16" i="2"/>
  <c r="AN56" i="2" s="1"/>
  <c r="AN65" i="2" s="1"/>
  <c r="W12" i="2"/>
  <c r="AX12" i="2" s="1"/>
  <c r="AE16" i="2"/>
  <c r="AE23" i="2" s="1"/>
  <c r="W65" i="2"/>
  <c r="Y12" i="2"/>
  <c r="AZ12" i="2" s="1"/>
  <c r="E15" i="2"/>
  <c r="AE15" i="2" s="1"/>
  <c r="Y15" i="2"/>
  <c r="AZ15" i="2" s="1"/>
  <c r="AZ16" i="2"/>
  <c r="AZ56" i="2" s="1"/>
  <c r="AZ65" i="2" s="1"/>
  <c r="E65" i="2"/>
  <c r="K14" i="2"/>
  <c r="AK14" i="2" s="1"/>
  <c r="E12" i="2"/>
  <c r="AE12" i="2" s="1"/>
  <c r="Q14" i="2"/>
  <c r="AR14" i="2" s="1"/>
  <c r="Q12" i="2"/>
  <c r="AR12" i="2" s="1"/>
  <c r="AR16" i="2"/>
  <c r="W15" i="2"/>
  <c r="AX15" i="2" s="1"/>
  <c r="Q65" i="2"/>
  <c r="W14" i="2"/>
  <c r="AX14" i="2" s="1"/>
  <c r="W13" i="2"/>
  <c r="AX13" i="2" s="1"/>
  <c r="AT16" i="2"/>
  <c r="Q15" i="2"/>
  <c r="AR15" i="2" s="1"/>
  <c r="AX16" i="2"/>
  <c r="Q13" i="2"/>
  <c r="AR13" i="2" s="1"/>
  <c r="AV16" i="2"/>
  <c r="AV56" i="2" s="1"/>
  <c r="AV10" i="2"/>
  <c r="AX22" i="2"/>
  <c r="AG10" i="2"/>
  <c r="AN22" i="2"/>
  <c r="AI10" i="2"/>
  <c r="AZ10" i="2"/>
  <c r="AK10" i="2"/>
  <c r="AE10" i="2"/>
  <c r="AP22" i="2"/>
  <c r="AT22" i="2"/>
  <c r="I65" i="2"/>
  <c r="C65" i="2"/>
  <c r="K65" i="2"/>
  <c r="U65" i="2"/>
  <c r="W10" i="2" l="1"/>
  <c r="W19" i="2" s="1"/>
  <c r="W44" i="2" s="1"/>
  <c r="E22" i="2"/>
  <c r="C22" i="2"/>
  <c r="C24" i="2" s="1"/>
  <c r="D24" i="2" s="1"/>
  <c r="U14" i="6"/>
  <c r="AV14" i="6" s="1"/>
  <c r="U23" i="6"/>
  <c r="U15" i="6"/>
  <c r="AV15" i="6" s="1"/>
  <c r="U13" i="6"/>
  <c r="AV13" i="6" s="1"/>
  <c r="AV16" i="6"/>
  <c r="AV23" i="6" s="1"/>
  <c r="U12" i="6"/>
  <c r="AV12" i="6" s="1"/>
  <c r="G12" i="6"/>
  <c r="AG12" i="6" s="1"/>
  <c r="AG16" i="6"/>
  <c r="AG23" i="6" s="1"/>
  <c r="G13" i="6"/>
  <c r="AG13" i="6" s="1"/>
  <c r="G14" i="6"/>
  <c r="AG14" i="6" s="1"/>
  <c r="G23" i="6"/>
  <c r="G15" i="6"/>
  <c r="AG15" i="6" s="1"/>
  <c r="AC16" i="6"/>
  <c r="AC23" i="6" s="1"/>
  <c r="C14" i="6"/>
  <c r="AC14" i="6" s="1"/>
  <c r="C12" i="6"/>
  <c r="AC12" i="6" s="1"/>
  <c r="C15" i="6"/>
  <c r="AC15" i="6" s="1"/>
  <c r="C13" i="6"/>
  <c r="AC13" i="6" s="1"/>
  <c r="C23" i="6"/>
  <c r="O13" i="6"/>
  <c r="AP13" i="6" s="1"/>
  <c r="O23" i="6"/>
  <c r="AP16" i="6"/>
  <c r="AP23" i="6" s="1"/>
  <c r="O12" i="6"/>
  <c r="AP12" i="6" s="1"/>
  <c r="O15" i="6"/>
  <c r="AP15" i="6" s="1"/>
  <c r="O14" i="6"/>
  <c r="AP14" i="6" s="1"/>
  <c r="W23" i="6"/>
  <c r="W14" i="6"/>
  <c r="AX14" i="6" s="1"/>
  <c r="W13" i="6"/>
  <c r="AX13" i="6" s="1"/>
  <c r="W15" i="6"/>
  <c r="AX15" i="6" s="1"/>
  <c r="AX16" i="6"/>
  <c r="AX23" i="6" s="1"/>
  <c r="W12" i="6"/>
  <c r="AX12" i="6" s="1"/>
  <c r="AR16" i="6"/>
  <c r="AR23" i="6" s="1"/>
  <c r="Q13" i="6"/>
  <c r="AR13" i="6" s="1"/>
  <c r="Q15" i="6"/>
  <c r="AR15" i="6" s="1"/>
  <c r="Q14" i="6"/>
  <c r="AR14" i="6" s="1"/>
  <c r="Q12" i="6"/>
  <c r="AR12" i="6" s="1"/>
  <c r="Q23" i="6"/>
  <c r="K12" i="6"/>
  <c r="AK12" i="6" s="1"/>
  <c r="K15" i="6"/>
  <c r="AK15" i="6" s="1"/>
  <c r="K23" i="6"/>
  <c r="K13" i="6"/>
  <c r="AK13" i="6" s="1"/>
  <c r="AK16" i="6"/>
  <c r="AK23" i="6" s="1"/>
  <c r="K14" i="6"/>
  <c r="AK14" i="6" s="1"/>
  <c r="Y15" i="6"/>
  <c r="AZ15" i="6" s="1"/>
  <c r="Y13" i="6"/>
  <c r="AZ13" i="6" s="1"/>
  <c r="Y14" i="6"/>
  <c r="AZ14" i="6" s="1"/>
  <c r="AZ16" i="6"/>
  <c r="AZ23" i="6" s="1"/>
  <c r="Y12" i="6"/>
  <c r="AZ12" i="6" s="1"/>
  <c r="Y23" i="6"/>
  <c r="E15" i="6"/>
  <c r="AE15" i="6" s="1"/>
  <c r="E13" i="6"/>
  <c r="AE13" i="6" s="1"/>
  <c r="E23" i="6"/>
  <c r="AE16" i="6"/>
  <c r="AE23" i="6" s="1"/>
  <c r="E14" i="6"/>
  <c r="AE14" i="6" s="1"/>
  <c r="E12" i="6"/>
  <c r="AE12" i="6" s="1"/>
  <c r="I13" i="6"/>
  <c r="AI13" i="6" s="1"/>
  <c r="I15" i="6"/>
  <c r="AI15" i="6" s="1"/>
  <c r="I23" i="6"/>
  <c r="AI16" i="6"/>
  <c r="AI23" i="6" s="1"/>
  <c r="I14" i="6"/>
  <c r="AI14" i="6" s="1"/>
  <c r="I12" i="6"/>
  <c r="AI12" i="6" s="1"/>
  <c r="S14" i="6"/>
  <c r="AT14" i="6" s="1"/>
  <c r="AT16" i="6"/>
  <c r="AT23" i="6" s="1"/>
  <c r="S12" i="6"/>
  <c r="AT12" i="6" s="1"/>
  <c r="S15" i="6"/>
  <c r="AT15" i="6" s="1"/>
  <c r="S23" i="6"/>
  <c r="S13" i="6"/>
  <c r="AT13" i="6" s="1"/>
  <c r="AN16" i="6"/>
  <c r="AN23" i="6" s="1"/>
  <c r="M14" i="6"/>
  <c r="AN14" i="6" s="1"/>
  <c r="M12" i="6"/>
  <c r="AN12" i="6" s="1"/>
  <c r="M15" i="6"/>
  <c r="AN15" i="6" s="1"/>
  <c r="M13" i="6"/>
  <c r="AN13" i="6" s="1"/>
  <c r="M23" i="6"/>
  <c r="H16" i="7"/>
  <c r="J12" i="7"/>
  <c r="AK7" i="6"/>
  <c r="K22" i="6"/>
  <c r="K10" i="6"/>
  <c r="F10" i="1"/>
  <c r="AR56" i="2"/>
  <c r="AR65" i="2" s="1"/>
  <c r="O10" i="6"/>
  <c r="O22" i="6"/>
  <c r="AP7" i="6"/>
  <c r="H7" i="7"/>
  <c r="F10" i="7"/>
  <c r="AR22" i="2"/>
  <c r="AI7" i="6"/>
  <c r="I22" i="6"/>
  <c r="I10" i="6"/>
  <c r="AC7" i="6"/>
  <c r="C22" i="6"/>
  <c r="C10" i="6"/>
  <c r="AN7" i="6"/>
  <c r="M22" i="6"/>
  <c r="M10" i="6"/>
  <c r="AT7" i="6"/>
  <c r="S10" i="6"/>
  <c r="S22" i="6"/>
  <c r="AG24" i="2"/>
  <c r="AG7" i="6"/>
  <c r="G10" i="6"/>
  <c r="G22" i="6"/>
  <c r="AV7" i="6"/>
  <c r="U22" i="6"/>
  <c r="U10" i="6"/>
  <c r="Q22" i="6"/>
  <c r="AR7" i="6"/>
  <c r="Q10" i="6"/>
  <c r="AX7" i="6"/>
  <c r="W10" i="6"/>
  <c r="W22" i="6"/>
  <c r="Y22" i="6"/>
  <c r="AZ7" i="6"/>
  <c r="Y10" i="6"/>
  <c r="AE7" i="6"/>
  <c r="E10" i="6"/>
  <c r="E22" i="6"/>
  <c r="AT19" i="2"/>
  <c r="AT44" i="2" s="1"/>
  <c r="AU44" i="2" s="1"/>
  <c r="AK24" i="2"/>
  <c r="AC22" i="2"/>
  <c r="AC24" i="2" s="1"/>
  <c r="AC19" i="2"/>
  <c r="AC44" i="2" s="1"/>
  <c r="AC54" i="2" s="1"/>
  <c r="AK56" i="2"/>
  <c r="AK65" i="2" s="1"/>
  <c r="AK19" i="2"/>
  <c r="AK44" i="2" s="1"/>
  <c r="AL44" i="2" s="1"/>
  <c r="K24" i="2"/>
  <c r="L24" i="2" s="1"/>
  <c r="H33" i="2"/>
  <c r="F18" i="2"/>
  <c r="N18" i="2"/>
  <c r="P18" i="2"/>
  <c r="Z18" i="2"/>
  <c r="L18" i="2"/>
  <c r="X18" i="2"/>
  <c r="J18" i="2"/>
  <c r="T18" i="2"/>
  <c r="H18" i="2"/>
  <c r="D18" i="2"/>
  <c r="R18" i="2"/>
  <c r="V18" i="2"/>
  <c r="C44" i="2"/>
  <c r="AE24" i="2"/>
  <c r="AI24" i="2"/>
  <c r="E24" i="2"/>
  <c r="F24" i="2" s="1"/>
  <c r="U24" i="2"/>
  <c r="V24" i="2" s="1"/>
  <c r="I24" i="2"/>
  <c r="J24" i="2" s="1"/>
  <c r="J9" i="1"/>
  <c r="J10" i="1" s="1"/>
  <c r="AX19" i="2"/>
  <c r="AY57" i="2" s="1"/>
  <c r="H16" i="1"/>
  <c r="J12" i="1"/>
  <c r="L7" i="1"/>
  <c r="J14" i="1"/>
  <c r="J13" i="1"/>
  <c r="AC56" i="2"/>
  <c r="AC65" i="2" s="1"/>
  <c r="J15" i="1"/>
  <c r="Y24" i="2"/>
  <c r="Z24" i="2" s="1"/>
  <c r="N10" i="2"/>
  <c r="M28" i="2"/>
  <c r="M29" i="2" s="1"/>
  <c r="M35" i="2"/>
  <c r="M42" i="2" s="1"/>
  <c r="N42" i="2" s="1"/>
  <c r="H63" i="2"/>
  <c r="G35" i="2"/>
  <c r="G28" i="2"/>
  <c r="T63" i="2"/>
  <c r="S35" i="2"/>
  <c r="T35" i="2" s="1"/>
  <c r="S28" i="2"/>
  <c r="T28" i="2" s="1"/>
  <c r="F63" i="2"/>
  <c r="E35" i="2"/>
  <c r="E28" i="2"/>
  <c r="J63" i="2"/>
  <c r="I35" i="2"/>
  <c r="I28" i="2"/>
  <c r="Q28" i="2"/>
  <c r="Q35" i="2"/>
  <c r="X63" i="2"/>
  <c r="W35" i="2"/>
  <c r="W28" i="2"/>
  <c r="P63" i="2"/>
  <c r="O28" i="2"/>
  <c r="O29" i="2" s="1"/>
  <c r="P29" i="2" s="1"/>
  <c r="O35" i="2"/>
  <c r="O42" i="2" s="1"/>
  <c r="P42" i="2" s="1"/>
  <c r="L63" i="2"/>
  <c r="K28" i="2"/>
  <c r="K35" i="2"/>
  <c r="D63" i="2"/>
  <c r="C35" i="2"/>
  <c r="C28" i="2"/>
  <c r="Z63" i="2"/>
  <c r="Y35" i="2"/>
  <c r="Y28" i="2"/>
  <c r="V63" i="2"/>
  <c r="U35" i="2"/>
  <c r="U28" i="2"/>
  <c r="AI56" i="2"/>
  <c r="AI65" i="2" s="1"/>
  <c r="T59" i="2"/>
  <c r="T30" i="2"/>
  <c r="P45" i="2"/>
  <c r="AG56" i="2"/>
  <c r="AG65" i="2" s="1"/>
  <c r="AG19" i="2"/>
  <c r="AH23" i="2" s="1"/>
  <c r="P38" i="2"/>
  <c r="T23" i="2"/>
  <c r="T34" i="2"/>
  <c r="T46" i="2"/>
  <c r="AP19" i="2"/>
  <c r="AQ30" i="2" s="1"/>
  <c r="AV23" i="2"/>
  <c r="AV24" i="2" s="1"/>
  <c r="AZ23" i="2"/>
  <c r="AZ24" i="2" s="1"/>
  <c r="P33" i="2"/>
  <c r="P16" i="2"/>
  <c r="P9" i="2"/>
  <c r="T41" i="2"/>
  <c r="AP23" i="2"/>
  <c r="P19" i="2"/>
  <c r="T36" i="2"/>
  <c r="P61" i="2"/>
  <c r="P58" i="2"/>
  <c r="P51" i="2"/>
  <c r="P47" i="2"/>
  <c r="P24" i="2"/>
  <c r="AI19" i="2"/>
  <c r="AJ36" i="2" s="1"/>
  <c r="P49" i="2"/>
  <c r="P7" i="2"/>
  <c r="P64" i="2"/>
  <c r="P53" i="2"/>
  <c r="T22" i="2"/>
  <c r="P22" i="2"/>
  <c r="T40" i="2"/>
  <c r="P23" i="2"/>
  <c r="P14" i="2"/>
  <c r="P62" i="2"/>
  <c r="P48" i="2"/>
  <c r="P41" i="2"/>
  <c r="T49" i="2"/>
  <c r="T16" i="2"/>
  <c r="T65" i="2"/>
  <c r="P50" i="2"/>
  <c r="P39" i="2"/>
  <c r="P37" i="2"/>
  <c r="P34" i="2"/>
  <c r="P60" i="2"/>
  <c r="P15" i="2"/>
  <c r="T39" i="2"/>
  <c r="T51" i="2"/>
  <c r="P8" i="2"/>
  <c r="P36" i="2"/>
  <c r="P57" i="2"/>
  <c r="T44" i="2"/>
  <c r="T61" i="2"/>
  <c r="T60" i="2"/>
  <c r="T37" i="2"/>
  <c r="T9" i="2"/>
  <c r="T7" i="2"/>
  <c r="T12" i="2"/>
  <c r="T48" i="2"/>
  <c r="T15" i="2"/>
  <c r="T50" i="2"/>
  <c r="T24" i="2"/>
  <c r="T14" i="2"/>
  <c r="T8" i="2"/>
  <c r="T33" i="2"/>
  <c r="T52" i="2"/>
  <c r="T58" i="2"/>
  <c r="T57" i="2"/>
  <c r="T13" i="2"/>
  <c r="T62" i="2"/>
  <c r="T10" i="2"/>
  <c r="T38" i="2"/>
  <c r="T53" i="2"/>
  <c r="T45" i="2"/>
  <c r="O54" i="2"/>
  <c r="P54" i="2" s="1"/>
  <c r="P46" i="2"/>
  <c r="P40" i="2"/>
  <c r="N50" i="2"/>
  <c r="T19" i="2"/>
  <c r="P10" i="2"/>
  <c r="AN23" i="2"/>
  <c r="T56" i="2"/>
  <c r="P30" i="2"/>
  <c r="P52" i="2"/>
  <c r="P59" i="2"/>
  <c r="N9" i="2"/>
  <c r="T64" i="2"/>
  <c r="T47" i="2"/>
  <c r="AN19" i="2"/>
  <c r="P65" i="2"/>
  <c r="N48" i="2"/>
  <c r="N22" i="2"/>
  <c r="N58" i="2"/>
  <c r="N57" i="2"/>
  <c r="N49" i="2"/>
  <c r="P13" i="2"/>
  <c r="AX56" i="2"/>
  <c r="AX65" i="2" s="1"/>
  <c r="AX23" i="2"/>
  <c r="AZ19" i="2"/>
  <c r="N41" i="2"/>
  <c r="N52" i="2"/>
  <c r="N16" i="2"/>
  <c r="N62" i="2"/>
  <c r="N23" i="2"/>
  <c r="N65" i="2"/>
  <c r="N38" i="2"/>
  <c r="N33" i="2"/>
  <c r="N15" i="2"/>
  <c r="N39" i="2"/>
  <c r="N12" i="2"/>
  <c r="N56" i="2"/>
  <c r="N64" i="2"/>
  <c r="N51" i="2"/>
  <c r="N24" i="2"/>
  <c r="N47" i="2"/>
  <c r="M54" i="2"/>
  <c r="N54" i="2" s="1"/>
  <c r="N45" i="2"/>
  <c r="N13" i="2"/>
  <c r="N46" i="2"/>
  <c r="N8" i="2"/>
  <c r="N60" i="2"/>
  <c r="N37" i="2"/>
  <c r="AE56" i="2"/>
  <c r="AE65" i="2" s="1"/>
  <c r="P12" i="2"/>
  <c r="N59" i="2"/>
  <c r="N34" i="2"/>
  <c r="N19" i="2"/>
  <c r="N36" i="2"/>
  <c r="AE19" i="2"/>
  <c r="N63" i="2"/>
  <c r="P56" i="2"/>
  <c r="N14" i="2"/>
  <c r="N7" i="2"/>
  <c r="N40" i="2"/>
  <c r="N61" i="2"/>
  <c r="N30" i="2"/>
  <c r="N53" i="2"/>
  <c r="AR23" i="2"/>
  <c r="AR19" i="2"/>
  <c r="AS33" i="2" s="1"/>
  <c r="AT56" i="2"/>
  <c r="AV19" i="2"/>
  <c r="AT23" i="2"/>
  <c r="AV65" i="2"/>
  <c r="AU59" i="2"/>
  <c r="AL59" i="2"/>
  <c r="R45" i="2"/>
  <c r="R63" i="2"/>
  <c r="J10" i="2"/>
  <c r="J45" i="2"/>
  <c r="Z45" i="2"/>
  <c r="Z46" i="2"/>
  <c r="D56" i="2"/>
  <c r="D45" i="2"/>
  <c r="H22" i="2"/>
  <c r="H45" i="2"/>
  <c r="F22" i="2"/>
  <c r="F45" i="2"/>
  <c r="V10" i="2"/>
  <c r="V45" i="2"/>
  <c r="V46" i="2"/>
  <c r="L10" i="2"/>
  <c r="L45" i="2"/>
  <c r="X10" i="2"/>
  <c r="X45" i="2"/>
  <c r="AL10" i="2"/>
  <c r="AP65" i="2"/>
  <c r="F10" i="2"/>
  <c r="V56" i="2"/>
  <c r="D22" i="2"/>
  <c r="J22" i="2"/>
  <c r="L56" i="2"/>
  <c r="F56" i="2"/>
  <c r="L65" i="2"/>
  <c r="H56" i="2"/>
  <c r="H65" i="2"/>
  <c r="F65" i="2"/>
  <c r="D10" i="2"/>
  <c r="H10" i="2"/>
  <c r="X24" i="2"/>
  <c r="X65" i="2"/>
  <c r="D65" i="2"/>
  <c r="H24" i="2"/>
  <c r="Z8" i="2"/>
  <c r="Z19" i="2"/>
  <c r="Z33" i="2"/>
  <c r="Z38" i="2"/>
  <c r="Z50" i="2"/>
  <c r="Z41" i="2"/>
  <c r="Z13" i="2"/>
  <c r="Z15" i="2"/>
  <c r="Z40" i="2"/>
  <c r="Z59" i="2"/>
  <c r="Z52" i="2"/>
  <c r="Z61" i="2"/>
  <c r="Z48" i="2"/>
  <c r="Z51" i="2"/>
  <c r="Z57" i="2"/>
  <c r="Z9" i="2"/>
  <c r="Z16" i="2"/>
  <c r="Z60" i="2"/>
  <c r="Z47" i="2"/>
  <c r="AN47" i="2" s="1"/>
  <c r="Z53" i="2"/>
  <c r="Z37" i="2"/>
  <c r="Z58" i="2"/>
  <c r="Z39" i="2"/>
  <c r="Z49" i="2"/>
  <c r="Z62" i="2"/>
  <c r="Z36" i="2"/>
  <c r="Z14" i="2"/>
  <c r="Z64" i="2"/>
  <c r="Z34" i="2"/>
  <c r="Z30" i="2"/>
  <c r="Z12" i="2"/>
  <c r="Z23" i="2"/>
  <c r="Z7" i="2"/>
  <c r="R14" i="2"/>
  <c r="R59" i="2"/>
  <c r="R37" i="2"/>
  <c r="R34" i="2"/>
  <c r="R58" i="2"/>
  <c r="R39" i="2"/>
  <c r="R53" i="2"/>
  <c r="R38" i="2"/>
  <c r="R61" i="2"/>
  <c r="R40" i="2"/>
  <c r="R49" i="2"/>
  <c r="R16" i="2"/>
  <c r="R52" i="2"/>
  <c r="R13" i="2"/>
  <c r="R57" i="2"/>
  <c r="R60" i="2"/>
  <c r="R19" i="2"/>
  <c r="R41" i="2"/>
  <c r="R15" i="2"/>
  <c r="R47" i="2"/>
  <c r="R36" i="2"/>
  <c r="R64" i="2"/>
  <c r="R48" i="2"/>
  <c r="R30" i="2"/>
  <c r="R51" i="2"/>
  <c r="R8" i="2"/>
  <c r="R46" i="2"/>
  <c r="R33" i="2"/>
  <c r="R9" i="2"/>
  <c r="R12" i="2"/>
  <c r="R50" i="2"/>
  <c r="R23" i="2"/>
  <c r="R62" i="2"/>
  <c r="R7" i="2"/>
  <c r="R24" i="2"/>
  <c r="R22" i="2"/>
  <c r="Z22" i="2"/>
  <c r="X37" i="2"/>
  <c r="X30" i="2"/>
  <c r="X49" i="2"/>
  <c r="X53" i="2"/>
  <c r="X33" i="2"/>
  <c r="X19" i="2"/>
  <c r="X34" i="2"/>
  <c r="X15" i="2"/>
  <c r="X60" i="2"/>
  <c r="X41" i="2"/>
  <c r="X48" i="2"/>
  <c r="X57" i="2"/>
  <c r="X12" i="2"/>
  <c r="X61" i="2"/>
  <c r="X39" i="2"/>
  <c r="X16" i="2"/>
  <c r="X51" i="2"/>
  <c r="X50" i="2"/>
  <c r="X38" i="2"/>
  <c r="X59" i="2"/>
  <c r="X64" i="2"/>
  <c r="X36" i="2"/>
  <c r="X58" i="2"/>
  <c r="X9" i="2"/>
  <c r="X52" i="2"/>
  <c r="X62" i="2"/>
  <c r="X47" i="2"/>
  <c r="X23" i="2"/>
  <c r="X13" i="2"/>
  <c r="X8" i="2"/>
  <c r="X46" i="2"/>
  <c r="X40" i="2"/>
  <c r="X7" i="2"/>
  <c r="X14" i="2"/>
  <c r="V30" i="2"/>
  <c r="V14" i="2"/>
  <c r="V16" i="2"/>
  <c r="V33" i="2"/>
  <c r="V39" i="2"/>
  <c r="V36" i="2"/>
  <c r="V57" i="2"/>
  <c r="V59" i="2"/>
  <c r="V34" i="2"/>
  <c r="V60" i="2"/>
  <c r="V62" i="2"/>
  <c r="V53" i="2"/>
  <c r="V9" i="2"/>
  <c r="V13" i="2"/>
  <c r="V49" i="2"/>
  <c r="V19" i="2"/>
  <c r="V52" i="2"/>
  <c r="V61" i="2"/>
  <c r="V23" i="2"/>
  <c r="V38" i="2"/>
  <c r="V15" i="2"/>
  <c r="V41" i="2"/>
  <c r="V64" i="2"/>
  <c r="V48" i="2"/>
  <c r="V50" i="2"/>
  <c r="V51" i="2"/>
  <c r="V8" i="2"/>
  <c r="V37" i="2"/>
  <c r="V40" i="2"/>
  <c r="V58" i="2"/>
  <c r="V7" i="2"/>
  <c r="V47" i="2"/>
  <c r="V12" i="2"/>
  <c r="L12" i="2"/>
  <c r="L15" i="2"/>
  <c r="L38" i="2"/>
  <c r="L51" i="2"/>
  <c r="L9" i="2"/>
  <c r="L41" i="2"/>
  <c r="L34" i="2"/>
  <c r="L64" i="2"/>
  <c r="L36" i="2"/>
  <c r="L46" i="2"/>
  <c r="L8" i="2"/>
  <c r="L52" i="2"/>
  <c r="L33" i="2"/>
  <c r="L30" i="2"/>
  <c r="L13" i="2"/>
  <c r="L19" i="2"/>
  <c r="L23" i="2"/>
  <c r="L40" i="2"/>
  <c r="L39" i="2"/>
  <c r="L60" i="2"/>
  <c r="L57" i="2"/>
  <c r="L47" i="2"/>
  <c r="L61" i="2"/>
  <c r="L37" i="2"/>
  <c r="L50" i="2"/>
  <c r="L62" i="2"/>
  <c r="L48" i="2"/>
  <c r="L59" i="2"/>
  <c r="L14" i="2"/>
  <c r="L16" i="2"/>
  <c r="L58" i="2"/>
  <c r="L49" i="2"/>
  <c r="L53" i="2"/>
  <c r="L7" i="2"/>
  <c r="J14" i="2"/>
  <c r="J12" i="2"/>
  <c r="J46" i="2"/>
  <c r="J34" i="2"/>
  <c r="J33" i="2"/>
  <c r="J62" i="2"/>
  <c r="J53" i="2"/>
  <c r="J39" i="2"/>
  <c r="J19" i="2"/>
  <c r="J13" i="2"/>
  <c r="J40" i="2"/>
  <c r="J47" i="2"/>
  <c r="J52" i="2"/>
  <c r="J16" i="2"/>
  <c r="J9" i="2"/>
  <c r="J61" i="2"/>
  <c r="J57" i="2"/>
  <c r="J58" i="2"/>
  <c r="J41" i="2"/>
  <c r="J23" i="2"/>
  <c r="J8" i="2"/>
  <c r="J37" i="2"/>
  <c r="J36" i="2"/>
  <c r="J49" i="2"/>
  <c r="J64" i="2"/>
  <c r="J48" i="2"/>
  <c r="J50" i="2"/>
  <c r="J38" i="2"/>
  <c r="J30" i="2"/>
  <c r="J15" i="2"/>
  <c r="J60" i="2"/>
  <c r="J59" i="2"/>
  <c r="J51" i="2"/>
  <c r="J7" i="2"/>
  <c r="V65" i="2"/>
  <c r="Z56" i="2"/>
  <c r="J56" i="2"/>
  <c r="R56" i="2"/>
  <c r="F15" i="2"/>
  <c r="F13" i="2"/>
  <c r="F51" i="2"/>
  <c r="F39" i="2"/>
  <c r="F19" i="2"/>
  <c r="F34" i="2"/>
  <c r="F40" i="2"/>
  <c r="F62" i="2"/>
  <c r="F23" i="2"/>
  <c r="F46" i="2"/>
  <c r="F64" i="2"/>
  <c r="F37" i="2"/>
  <c r="F9" i="2"/>
  <c r="F33" i="2"/>
  <c r="F58" i="2"/>
  <c r="F47" i="2"/>
  <c r="F41" i="2"/>
  <c r="F38" i="2"/>
  <c r="F50" i="2"/>
  <c r="F49" i="2"/>
  <c r="F14" i="2"/>
  <c r="F12" i="2"/>
  <c r="F30" i="2"/>
  <c r="F7" i="2"/>
  <c r="F48" i="2"/>
  <c r="F36" i="2"/>
  <c r="F60" i="2"/>
  <c r="F52" i="2"/>
  <c r="F57" i="2"/>
  <c r="F8" i="2"/>
  <c r="F53" i="2"/>
  <c r="F61" i="2"/>
  <c r="F59" i="2"/>
  <c r="F16" i="2"/>
  <c r="Z10" i="2"/>
  <c r="R10" i="2"/>
  <c r="X56" i="2"/>
  <c r="Z65" i="2"/>
  <c r="D16" i="2"/>
  <c r="D15" i="2"/>
  <c r="D39" i="2"/>
  <c r="D37" i="2"/>
  <c r="D46" i="2"/>
  <c r="D57" i="2"/>
  <c r="D61" i="2"/>
  <c r="D9" i="2"/>
  <c r="D33" i="2"/>
  <c r="D19" i="2"/>
  <c r="D12" i="2"/>
  <c r="D50" i="2"/>
  <c r="D49" i="2"/>
  <c r="D13" i="2"/>
  <c r="D30" i="2"/>
  <c r="D38" i="2"/>
  <c r="D34" i="2"/>
  <c r="D47" i="2"/>
  <c r="D53" i="2"/>
  <c r="D8" i="2"/>
  <c r="D59" i="2"/>
  <c r="D48" i="2"/>
  <c r="D40" i="2"/>
  <c r="D58" i="2"/>
  <c r="D64" i="2"/>
  <c r="D41" i="2"/>
  <c r="D52" i="2"/>
  <c r="D60" i="2"/>
  <c r="D36" i="2"/>
  <c r="D14" i="2"/>
  <c r="D62" i="2"/>
  <c r="D23" i="2"/>
  <c r="D51" i="2"/>
  <c r="D7" i="2"/>
  <c r="V22" i="2"/>
  <c r="L22" i="2"/>
  <c r="J65" i="2"/>
  <c r="R65" i="2"/>
  <c r="H14" i="2"/>
  <c r="H61" i="2"/>
  <c r="H30" i="2"/>
  <c r="H49" i="2"/>
  <c r="H64" i="2"/>
  <c r="H48" i="2"/>
  <c r="H59" i="2"/>
  <c r="H50" i="2"/>
  <c r="H16" i="2"/>
  <c r="H8" i="2"/>
  <c r="H15" i="2"/>
  <c r="H47" i="2"/>
  <c r="H7" i="2"/>
  <c r="H9" i="2"/>
  <c r="H34" i="2"/>
  <c r="H36" i="2"/>
  <c r="H37" i="2"/>
  <c r="H58" i="2"/>
  <c r="H53" i="2"/>
  <c r="H38" i="2"/>
  <c r="H57" i="2"/>
  <c r="H23" i="2"/>
  <c r="H12" i="2"/>
  <c r="H13" i="2"/>
  <c r="H62" i="2"/>
  <c r="H41" i="2"/>
  <c r="H51" i="2"/>
  <c r="H40" i="2"/>
  <c r="H46" i="2"/>
  <c r="H52" i="2"/>
  <c r="H19" i="2"/>
  <c r="H60" i="2"/>
  <c r="H39" i="2"/>
  <c r="X22" i="2"/>
  <c r="AU8" i="2" l="1"/>
  <c r="AU30" i="2"/>
  <c r="AU46" i="2"/>
  <c r="AU34" i="2"/>
  <c r="AR24" i="2"/>
  <c r="AU56" i="2"/>
  <c r="AU13" i="2"/>
  <c r="AU57" i="2"/>
  <c r="AU62" i="2"/>
  <c r="AU15" i="2"/>
  <c r="AT28" i="2"/>
  <c r="AU28" i="2" s="1"/>
  <c r="AU45" i="2"/>
  <c r="AU10" i="2"/>
  <c r="AU38" i="2"/>
  <c r="AU51" i="2"/>
  <c r="AU33" i="2"/>
  <c r="AU39" i="2"/>
  <c r="AU50" i="2"/>
  <c r="AU48" i="2"/>
  <c r="AL49" i="2"/>
  <c r="AL36" i="2"/>
  <c r="AL60" i="2"/>
  <c r="AL34" i="2"/>
  <c r="AU64" i="2"/>
  <c r="AU63" i="2"/>
  <c r="AU12" i="2"/>
  <c r="AU19" i="2"/>
  <c r="AU52" i="2"/>
  <c r="AU16" i="2"/>
  <c r="AU7" i="2"/>
  <c r="AU67" i="2"/>
  <c r="AU53" i="2"/>
  <c r="AU58" i="2"/>
  <c r="AU23" i="2"/>
  <c r="AU40" i="2"/>
  <c r="AU37" i="2"/>
  <c r="AU22" i="2"/>
  <c r="AU14" i="2"/>
  <c r="AU36" i="2"/>
  <c r="AU60" i="2"/>
  <c r="AT35" i="2"/>
  <c r="AU35" i="2" s="1"/>
  <c r="AU61" i="2"/>
  <c r="AU41" i="2"/>
  <c r="AU9" i="2"/>
  <c r="AU49" i="2"/>
  <c r="AD46" i="2"/>
  <c r="AD59" i="2"/>
  <c r="AD52" i="2"/>
  <c r="AD67" i="2"/>
  <c r="AD53" i="2"/>
  <c r="AY53" i="2"/>
  <c r="AD63" i="2"/>
  <c r="AD10" i="2"/>
  <c r="AD19" i="2"/>
  <c r="AY61" i="2"/>
  <c r="AD58" i="2"/>
  <c r="AD23" i="2"/>
  <c r="J16" i="7"/>
  <c r="L12" i="7"/>
  <c r="L16" i="7" s="1"/>
  <c r="AL62" i="2"/>
  <c r="E24" i="6"/>
  <c r="W24" i="6"/>
  <c r="U19" i="6"/>
  <c r="O24" i="6"/>
  <c r="E19" i="6"/>
  <c r="F22" i="6" s="1"/>
  <c r="W19" i="6"/>
  <c r="X10" i="6" s="1"/>
  <c r="U24" i="6"/>
  <c r="S24" i="6"/>
  <c r="C19" i="6"/>
  <c r="D10" i="6" s="1"/>
  <c r="O19" i="6"/>
  <c r="P22" i="6" s="1"/>
  <c r="AE56" i="6"/>
  <c r="AE10" i="6"/>
  <c r="AE19" i="6" s="1"/>
  <c r="AF7" i="6" s="1"/>
  <c r="AE22" i="6"/>
  <c r="AX22" i="6"/>
  <c r="AX56" i="6"/>
  <c r="AX10" i="6"/>
  <c r="AV56" i="6"/>
  <c r="AV10" i="6"/>
  <c r="AV22" i="6"/>
  <c r="S19" i="6"/>
  <c r="T10" i="6" s="1"/>
  <c r="C24" i="6"/>
  <c r="AT10" i="6"/>
  <c r="AT22" i="6"/>
  <c r="AT56" i="6"/>
  <c r="AC22" i="6"/>
  <c r="AC10" i="6"/>
  <c r="AC56" i="6"/>
  <c r="H10" i="7"/>
  <c r="J7" i="7"/>
  <c r="Y19" i="6"/>
  <c r="Z10" i="6" s="1"/>
  <c r="Q19" i="6"/>
  <c r="R10" i="6" s="1"/>
  <c r="G24" i="6"/>
  <c r="AZ22" i="6"/>
  <c r="AZ24" i="6" s="1"/>
  <c r="AZ56" i="6"/>
  <c r="AZ10" i="6"/>
  <c r="AR56" i="6"/>
  <c r="AR10" i="6"/>
  <c r="AR22" i="6"/>
  <c r="G19" i="6"/>
  <c r="H10" i="6" s="1"/>
  <c r="M19" i="6"/>
  <c r="I19" i="6"/>
  <c r="J10" i="6" s="1"/>
  <c r="K19" i="6"/>
  <c r="Y24" i="6"/>
  <c r="Q24" i="6"/>
  <c r="AG10" i="6"/>
  <c r="AG56" i="6"/>
  <c r="AG22" i="6"/>
  <c r="M24" i="6"/>
  <c r="I24" i="6"/>
  <c r="K24" i="6"/>
  <c r="AN22" i="6"/>
  <c r="AN10" i="6"/>
  <c r="AN56" i="6"/>
  <c r="AI56" i="6"/>
  <c r="AI10" i="6"/>
  <c r="AI22" i="6"/>
  <c r="AP56" i="6"/>
  <c r="AP10" i="6"/>
  <c r="AP22" i="6"/>
  <c r="AK10" i="6"/>
  <c r="AK56" i="6"/>
  <c r="AK22" i="6"/>
  <c r="AD64" i="2"/>
  <c r="AD38" i="2"/>
  <c r="AY23" i="2"/>
  <c r="AD45" i="2"/>
  <c r="AL52" i="2"/>
  <c r="AL9" i="2"/>
  <c r="AL12" i="2"/>
  <c r="AL16" i="2"/>
  <c r="AL58" i="2"/>
  <c r="AL53" i="2"/>
  <c r="AL7" i="2"/>
  <c r="AL63" i="2"/>
  <c r="AL46" i="2"/>
  <c r="AL24" i="2"/>
  <c r="AL23" i="2"/>
  <c r="AL39" i="2"/>
  <c r="AL13" i="2"/>
  <c r="AL45" i="2"/>
  <c r="AL67" i="2"/>
  <c r="AL40" i="2"/>
  <c r="AL51" i="2"/>
  <c r="AL65" i="2"/>
  <c r="AL8" i="2"/>
  <c r="AL41" i="2"/>
  <c r="AL61" i="2"/>
  <c r="AK35" i="2"/>
  <c r="AL35" i="2" s="1"/>
  <c r="AL33" i="2"/>
  <c r="AL15" i="2"/>
  <c r="AL22" i="2"/>
  <c r="AL38" i="2"/>
  <c r="AL30" i="2"/>
  <c r="AL37" i="2"/>
  <c r="AL48" i="2"/>
  <c r="AL64" i="2"/>
  <c r="AK28" i="2"/>
  <c r="AL28" i="2" s="1"/>
  <c r="AL14" i="2"/>
  <c r="AL19" i="2"/>
  <c r="AL57" i="2"/>
  <c r="AL50" i="2"/>
  <c r="AL47" i="2"/>
  <c r="AZ47" i="2" s="1"/>
  <c r="BA47" i="2" s="1"/>
  <c r="AL56" i="2"/>
  <c r="AD13" i="2"/>
  <c r="AD12" i="2"/>
  <c r="AD47" i="2"/>
  <c r="AR47" i="2" s="1"/>
  <c r="AS47" i="2" s="1"/>
  <c r="AC28" i="2"/>
  <c r="AC29" i="2" s="1"/>
  <c r="AD29" i="2" s="1"/>
  <c r="AD33" i="2"/>
  <c r="AD8" i="2"/>
  <c r="AD57" i="2"/>
  <c r="AC35" i="2"/>
  <c r="AC42" i="2" s="1"/>
  <c r="AD42" i="2" s="1"/>
  <c r="AD7" i="2"/>
  <c r="AD51" i="2"/>
  <c r="AD65" i="2"/>
  <c r="AD34" i="2"/>
  <c r="AD30" i="2"/>
  <c r="AD24" i="2"/>
  <c r="AD22" i="2"/>
  <c r="AD39" i="2"/>
  <c r="AD15" i="2"/>
  <c r="AD41" i="2"/>
  <c r="AD9" i="2"/>
  <c r="AD36" i="2"/>
  <c r="AD60" i="2"/>
  <c r="AD48" i="2"/>
  <c r="AD50" i="2"/>
  <c r="AD61" i="2"/>
  <c r="AD14" i="2"/>
  <c r="AD62" i="2"/>
  <c r="AD37" i="2"/>
  <c r="AQ46" i="2"/>
  <c r="AD49" i="2"/>
  <c r="AD40" i="2"/>
  <c r="AD16" i="2"/>
  <c r="AH30" i="2"/>
  <c r="AY45" i="2"/>
  <c r="AY30" i="2"/>
  <c r="AY64" i="2"/>
  <c r="AY34" i="2"/>
  <c r="AY16" i="2"/>
  <c r="AY38" i="2"/>
  <c r="AY51" i="2"/>
  <c r="AA18" i="2"/>
  <c r="AY60" i="2"/>
  <c r="AX28" i="2"/>
  <c r="AX29" i="2" s="1"/>
  <c r="AY29" i="2" s="1"/>
  <c r="AY15" i="2"/>
  <c r="AY10" i="2"/>
  <c r="AY41" i="2"/>
  <c r="AY58" i="2"/>
  <c r="AY19" i="2"/>
  <c r="AY52" i="2"/>
  <c r="AY40" i="2"/>
  <c r="AY8" i="2"/>
  <c r="AY48" i="2"/>
  <c r="AY22" i="2"/>
  <c r="AS34" i="2"/>
  <c r="AY67" i="2"/>
  <c r="AY62" i="2"/>
  <c r="AY39" i="2"/>
  <c r="AY14" i="2"/>
  <c r="AY12" i="2"/>
  <c r="AX35" i="2"/>
  <c r="AY35" i="2" s="1"/>
  <c r="AY49" i="2"/>
  <c r="AY46" i="2"/>
  <c r="AY13" i="2"/>
  <c r="AY7" i="2"/>
  <c r="AY59" i="2"/>
  <c r="AY33" i="2"/>
  <c r="AY50" i="2"/>
  <c r="AY65" i="2"/>
  <c r="AY9" i="2"/>
  <c r="AY36" i="2"/>
  <c r="AY37" i="2"/>
  <c r="L14" i="1"/>
  <c r="AQ63" i="2"/>
  <c r="AP44" i="2"/>
  <c r="AQ44" i="2" s="1"/>
  <c r="L15" i="1"/>
  <c r="AF63" i="2"/>
  <c r="AE44" i="2"/>
  <c r="AE54" i="2" s="1"/>
  <c r="AF54" i="2" s="1"/>
  <c r="AY63" i="2"/>
  <c r="AX44" i="2"/>
  <c r="AY44" i="2" s="1"/>
  <c r="AO10" i="2"/>
  <c r="AN44" i="2"/>
  <c r="AN54" i="2" s="1"/>
  <c r="AO54" i="2" s="1"/>
  <c r="AJ64" i="2"/>
  <c r="AW63" i="2"/>
  <c r="AV44" i="2"/>
  <c r="AW44" i="2" s="1"/>
  <c r="J16" i="1"/>
  <c r="L12" i="1"/>
  <c r="L9" i="1"/>
  <c r="L10" i="1" s="1"/>
  <c r="BA63" i="2"/>
  <c r="AZ44" i="2"/>
  <c r="AH63" i="2"/>
  <c r="AG44" i="2"/>
  <c r="AG54" i="2" s="1"/>
  <c r="AH54" i="2" s="1"/>
  <c r="L13" i="1"/>
  <c r="AJ10" i="2"/>
  <c r="AI44" i="2"/>
  <c r="AI54" i="2" s="1"/>
  <c r="AJ54" i="2" s="1"/>
  <c r="AS12" i="2"/>
  <c r="AR44" i="2"/>
  <c r="AS44" i="2" s="1"/>
  <c r="AD56" i="2"/>
  <c r="AJ48" i="2"/>
  <c r="AJ19" i="2"/>
  <c r="AQ14" i="2"/>
  <c r="AQ8" i="2"/>
  <c r="AQ65" i="2"/>
  <c r="AQ16" i="2"/>
  <c r="AP28" i="2"/>
  <c r="AQ28" i="2" s="1"/>
  <c r="AQ57" i="2"/>
  <c r="AQ23" i="2"/>
  <c r="AP35" i="2"/>
  <c r="AQ35" i="2" s="1"/>
  <c r="AJ13" i="2"/>
  <c r="AQ49" i="2"/>
  <c r="AH36" i="2"/>
  <c r="AH47" i="2"/>
  <c r="AV47" i="2" s="1"/>
  <c r="AW47" i="2" s="1"/>
  <c r="AS36" i="2"/>
  <c r="AO45" i="2"/>
  <c r="AH40" i="2"/>
  <c r="AH38" i="2"/>
  <c r="AH65" i="2"/>
  <c r="AH51" i="2"/>
  <c r="AH62" i="2"/>
  <c r="AH8" i="2"/>
  <c r="AH7" i="2"/>
  <c r="AH12" i="2"/>
  <c r="AH52" i="2"/>
  <c r="AG28" i="2"/>
  <c r="AG29" i="2" s="1"/>
  <c r="AH29" i="2" s="1"/>
  <c r="AH24" i="2"/>
  <c r="AH46" i="2"/>
  <c r="AH60" i="2"/>
  <c r="AH45" i="2"/>
  <c r="AH53" i="2"/>
  <c r="AH10" i="2"/>
  <c r="AH9" i="2"/>
  <c r="AH61" i="2"/>
  <c r="AH33" i="2"/>
  <c r="AH48" i="2"/>
  <c r="AH15" i="2"/>
  <c r="AH49" i="2"/>
  <c r="AH16" i="2"/>
  <c r="AH13" i="2"/>
  <c r="AH39" i="2"/>
  <c r="AH57" i="2"/>
  <c r="AH56" i="2"/>
  <c r="AH34" i="2"/>
  <c r="AH58" i="2"/>
  <c r="AH67" i="2"/>
  <c r="AH41" i="2"/>
  <c r="AH19" i="2"/>
  <c r="AH59" i="2"/>
  <c r="AH22" i="2"/>
  <c r="AH64" i="2"/>
  <c r="AH37" i="2"/>
  <c r="AH14" i="2"/>
  <c r="AG35" i="2"/>
  <c r="AG42" i="2" s="1"/>
  <c r="AH42" i="2" s="1"/>
  <c r="AH50" i="2"/>
  <c r="P35" i="2"/>
  <c r="AQ9" i="2"/>
  <c r="AQ59" i="2"/>
  <c r="AQ62" i="2"/>
  <c r="AQ50" i="2"/>
  <c r="AQ53" i="2"/>
  <c r="AQ37" i="2"/>
  <c r="AQ41" i="2"/>
  <c r="AQ64" i="2"/>
  <c r="AQ56" i="2"/>
  <c r="AQ67" i="2"/>
  <c r="AQ48" i="2"/>
  <c r="AQ52" i="2"/>
  <c r="AQ40" i="2"/>
  <c r="AQ36" i="2"/>
  <c r="AQ61" i="2"/>
  <c r="AQ19" i="2"/>
  <c r="AQ51" i="2"/>
  <c r="AQ10" i="2"/>
  <c r="AQ45" i="2"/>
  <c r="AQ7" i="2"/>
  <c r="AQ60" i="2"/>
  <c r="AQ33" i="2"/>
  <c r="AQ34" i="2"/>
  <c r="AQ58" i="2"/>
  <c r="AQ22" i="2"/>
  <c r="AQ38" i="2"/>
  <c r="AQ39" i="2"/>
  <c r="AJ53" i="2"/>
  <c r="AS58" i="2"/>
  <c r="AJ62" i="2"/>
  <c r="AJ50" i="2"/>
  <c r="AS56" i="2"/>
  <c r="AJ67" i="2"/>
  <c r="AJ38" i="2"/>
  <c r="AS22" i="2"/>
  <c r="AJ14" i="2"/>
  <c r="AJ23" i="2"/>
  <c r="AJ34" i="2"/>
  <c r="AJ37" i="2"/>
  <c r="AJ58" i="2"/>
  <c r="AJ22" i="2"/>
  <c r="AS65" i="2"/>
  <c r="AS60" i="2"/>
  <c r="AS62" i="2"/>
  <c r="AJ16" i="2"/>
  <c r="AI35" i="2"/>
  <c r="AJ35" i="2" s="1"/>
  <c r="AS9" i="2"/>
  <c r="AS41" i="2"/>
  <c r="AS39" i="2"/>
  <c r="AJ63" i="2"/>
  <c r="AJ33" i="2"/>
  <c r="AJ51" i="2"/>
  <c r="AJ41" i="2"/>
  <c r="AJ57" i="2"/>
  <c r="AJ15" i="2"/>
  <c r="AJ9" i="2"/>
  <c r="AJ24" i="2"/>
  <c r="S42" i="2"/>
  <c r="T42" i="2" s="1"/>
  <c r="AS10" i="2"/>
  <c r="AS14" i="2"/>
  <c r="AS13" i="2"/>
  <c r="AS8" i="2"/>
  <c r="AS37" i="2"/>
  <c r="AS46" i="2"/>
  <c r="AJ45" i="2"/>
  <c r="AJ49" i="2"/>
  <c r="AJ8" i="2"/>
  <c r="AJ40" i="2"/>
  <c r="AJ59" i="2"/>
  <c r="AJ30" i="2"/>
  <c r="AS16" i="2"/>
  <c r="AS23" i="2"/>
  <c r="AR35" i="2"/>
  <c r="AS35" i="2" s="1"/>
  <c r="AS61" i="2"/>
  <c r="AS50" i="2"/>
  <c r="AQ13" i="2"/>
  <c r="AS45" i="2"/>
  <c r="AJ60" i="2"/>
  <c r="AJ61" i="2"/>
  <c r="AJ47" i="2"/>
  <c r="AX47" i="2" s="1"/>
  <c r="AY47" i="2" s="1"/>
  <c r="AJ52" i="2"/>
  <c r="AS15" i="2"/>
  <c r="AR28" i="2"/>
  <c r="AR29" i="2" s="1"/>
  <c r="AS29" i="2" s="1"/>
  <c r="AS40" i="2"/>
  <c r="AP24" i="2"/>
  <c r="AQ24" i="2" s="1"/>
  <c r="AQ12" i="2"/>
  <c r="AJ65" i="2"/>
  <c r="AJ7" i="2"/>
  <c r="AI28" i="2"/>
  <c r="AJ28" i="2" s="1"/>
  <c r="AJ12" i="2"/>
  <c r="AJ39" i="2"/>
  <c r="AJ46" i="2"/>
  <c r="AJ56" i="2"/>
  <c r="AS59" i="2"/>
  <c r="AS51" i="2"/>
  <c r="AQ15" i="2"/>
  <c r="P28" i="2"/>
  <c r="AF15" i="2"/>
  <c r="AO9" i="2"/>
  <c r="S54" i="2"/>
  <c r="T54" i="2" s="1"/>
  <c r="AE28" i="2"/>
  <c r="AF28" i="2" s="1"/>
  <c r="AN35" i="2"/>
  <c r="AO35" i="2" s="1"/>
  <c r="AO39" i="2"/>
  <c r="AF53" i="2"/>
  <c r="AO37" i="2"/>
  <c r="AO14" i="2"/>
  <c r="AF34" i="2"/>
  <c r="AO23" i="2"/>
  <c r="AF36" i="2"/>
  <c r="AF8" i="2"/>
  <c r="AF38" i="2"/>
  <c r="AF39" i="2"/>
  <c r="AF7" i="2"/>
  <c r="BA56" i="2"/>
  <c r="BA40" i="2"/>
  <c r="BA49" i="2"/>
  <c r="BA64" i="2"/>
  <c r="AO7" i="2"/>
  <c r="AO67" i="2"/>
  <c r="AO57" i="2"/>
  <c r="AO58" i="2"/>
  <c r="AN24" i="2"/>
  <c r="AO24" i="2" s="1"/>
  <c r="BA12" i="2"/>
  <c r="AF60" i="2"/>
  <c r="AF51" i="2"/>
  <c r="AF50" i="2"/>
  <c r="AF41" i="2"/>
  <c r="AF57" i="2"/>
  <c r="AO47" i="2"/>
  <c r="AO65" i="2"/>
  <c r="BA24" i="2"/>
  <c r="AO15" i="2"/>
  <c r="BA7" i="2"/>
  <c r="BA36" i="2"/>
  <c r="BA48" i="2"/>
  <c r="BA62" i="2"/>
  <c r="AO8" i="2"/>
  <c r="AO59" i="2"/>
  <c r="AO33" i="2"/>
  <c r="AO30" i="2"/>
  <c r="BA22" i="2"/>
  <c r="AO63" i="2"/>
  <c r="BA19" i="2"/>
  <c r="AF24" i="2"/>
  <c r="AE35" i="2"/>
  <c r="AF35" i="2" s="1"/>
  <c r="AF16" i="2"/>
  <c r="AF30" i="2"/>
  <c r="AF58" i="2"/>
  <c r="AF49" i="2"/>
  <c r="BA8" i="2"/>
  <c r="AZ28" i="2"/>
  <c r="BA28" i="2" s="1"/>
  <c r="BA41" i="2"/>
  <c r="BA34" i="2"/>
  <c r="AO53" i="2"/>
  <c r="AO38" i="2"/>
  <c r="AO50" i="2"/>
  <c r="AO41" i="2"/>
  <c r="BA13" i="2"/>
  <c r="BA10" i="2"/>
  <c r="AF22" i="2"/>
  <c r="AF23" i="2"/>
  <c r="AF33" i="2"/>
  <c r="AF12" i="2"/>
  <c r="AF9" i="2"/>
  <c r="AF14" i="2"/>
  <c r="AO13" i="2"/>
  <c r="BA23" i="2"/>
  <c r="BA9" i="2"/>
  <c r="BA67" i="2"/>
  <c r="BA52" i="2"/>
  <c r="BA39" i="2"/>
  <c r="AO60" i="2"/>
  <c r="AO49" i="2"/>
  <c r="AO64" i="2"/>
  <c r="AO48" i="2"/>
  <c r="AZ35" i="2"/>
  <c r="BA35" i="2" s="1"/>
  <c r="AF67" i="2"/>
  <c r="AF19" i="2"/>
  <c r="AF52" i="2"/>
  <c r="AF64" i="2"/>
  <c r="BA16" i="2"/>
  <c r="BA15" i="2"/>
  <c r="BA53" i="2"/>
  <c r="BA51" i="2"/>
  <c r="BA58" i="2"/>
  <c r="BA46" i="2"/>
  <c r="AN28" i="2"/>
  <c r="AN29" i="2" s="1"/>
  <c r="AO29" i="2" s="1"/>
  <c r="AO62" i="2"/>
  <c r="AO34" i="2"/>
  <c r="AO52" i="2"/>
  <c r="BA30" i="2"/>
  <c r="AF10" i="2"/>
  <c r="AF37" i="2"/>
  <c r="AF40" i="2"/>
  <c r="AF46" i="2"/>
  <c r="AF62" i="2"/>
  <c r="BA14" i="2"/>
  <c r="AO16" i="2"/>
  <c r="BA59" i="2"/>
  <c r="BA37" i="2"/>
  <c r="BA33" i="2"/>
  <c r="BA50" i="2"/>
  <c r="AO12" i="2"/>
  <c r="AO46" i="2"/>
  <c r="AO40" i="2"/>
  <c r="AO61" i="2"/>
  <c r="AF13" i="2"/>
  <c r="AF61" i="2"/>
  <c r="AF48" i="2"/>
  <c r="AF59" i="2"/>
  <c r="AF47" i="2"/>
  <c r="AT47" i="2" s="1"/>
  <c r="AU47" i="2" s="1"/>
  <c r="AO56" i="2"/>
  <c r="BA60" i="2"/>
  <c r="BA61" i="2"/>
  <c r="BA38" i="2"/>
  <c r="BA57" i="2"/>
  <c r="AO22" i="2"/>
  <c r="AO36" i="2"/>
  <c r="AO19" i="2"/>
  <c r="AO51" i="2"/>
  <c r="BA65" i="2"/>
  <c r="BA45" i="2"/>
  <c r="AF45" i="2"/>
  <c r="N44" i="2"/>
  <c r="P44" i="2"/>
  <c r="S29" i="2"/>
  <c r="T29" i="2" s="1"/>
  <c r="N35" i="2"/>
  <c r="AF56" i="2"/>
  <c r="AS24" i="2"/>
  <c r="AD44" i="2"/>
  <c r="N28" i="2"/>
  <c r="AX24" i="2"/>
  <c r="AY24" i="2" s="1"/>
  <c r="AY56" i="2"/>
  <c r="AT65" i="2"/>
  <c r="AU65" i="2" s="1"/>
  <c r="AA63" i="2"/>
  <c r="AF65" i="2"/>
  <c r="AS53" i="2"/>
  <c r="AS30" i="2"/>
  <c r="AS38" i="2"/>
  <c r="AS57" i="2"/>
  <c r="AS67" i="2"/>
  <c r="AS52" i="2"/>
  <c r="AS49" i="2"/>
  <c r="AS64" i="2"/>
  <c r="AS7" i="2"/>
  <c r="AS48" i="2"/>
  <c r="AS19" i="2"/>
  <c r="AS63" i="2"/>
  <c r="AT42" i="2"/>
  <c r="AU42" i="2" s="1"/>
  <c r="AV35" i="2"/>
  <c r="AW61" i="2"/>
  <c r="AW67" i="2"/>
  <c r="AW15" i="2"/>
  <c r="AW59" i="2"/>
  <c r="AW45" i="2"/>
  <c r="AT29" i="2"/>
  <c r="AU29" i="2" s="1"/>
  <c r="AW65" i="2"/>
  <c r="AW36" i="2"/>
  <c r="AW57" i="2"/>
  <c r="AW34" i="2"/>
  <c r="AW52" i="2"/>
  <c r="AW51" i="2"/>
  <c r="AW56" i="2"/>
  <c r="AW46" i="2"/>
  <c r="AW12" i="2"/>
  <c r="AW40" i="2"/>
  <c r="AW49" i="2"/>
  <c r="AW37" i="2"/>
  <c r="AW30" i="2"/>
  <c r="AW24" i="2"/>
  <c r="AW41" i="2"/>
  <c r="AW8" i="2"/>
  <c r="AV28" i="2"/>
  <c r="AW28" i="2" s="1"/>
  <c r="AW16" i="2"/>
  <c r="AW7" i="2"/>
  <c r="AW9" i="2"/>
  <c r="AW48" i="2"/>
  <c r="AW23" i="2"/>
  <c r="AW53" i="2"/>
  <c r="AW64" i="2"/>
  <c r="AW38" i="2"/>
  <c r="AW22" i="2"/>
  <c r="AW58" i="2"/>
  <c r="AT24" i="2"/>
  <c r="AU24" i="2" s="1"/>
  <c r="AW10" i="2"/>
  <c r="AW39" i="2"/>
  <c r="AW60" i="2"/>
  <c r="AW14" i="2"/>
  <c r="AW13" i="2"/>
  <c r="AW62" i="2"/>
  <c r="AW50" i="2"/>
  <c r="AW19" i="2"/>
  <c r="AW33" i="2"/>
  <c r="AK54" i="2"/>
  <c r="AL54" i="2" s="1"/>
  <c r="AA45" i="2"/>
  <c r="AD54" i="2"/>
  <c r="AA60" i="2"/>
  <c r="AA58" i="2"/>
  <c r="AA37" i="2"/>
  <c r="AA62" i="2"/>
  <c r="AA24" i="2"/>
  <c r="AA56" i="2"/>
  <c r="AA40" i="2"/>
  <c r="AA38" i="2"/>
  <c r="AA61" i="2"/>
  <c r="AA41" i="2"/>
  <c r="AA48" i="2"/>
  <c r="AA47" i="2"/>
  <c r="AA30" i="2"/>
  <c r="AA50" i="2"/>
  <c r="AA57" i="2"/>
  <c r="AA23" i="2"/>
  <c r="AA34" i="2"/>
  <c r="AA52" i="2"/>
  <c r="AA53" i="2"/>
  <c r="AA49" i="2"/>
  <c r="AA39" i="2"/>
  <c r="AA51" i="2"/>
  <c r="AA36" i="2"/>
  <c r="AA64" i="2"/>
  <c r="AA59" i="2"/>
  <c r="AA33" i="2"/>
  <c r="AA46" i="2"/>
  <c r="AA22" i="2"/>
  <c r="O31" i="2"/>
  <c r="O70" i="2" s="1"/>
  <c r="P70" i="2" s="1"/>
  <c r="E54" i="2"/>
  <c r="F54" i="2" s="1"/>
  <c r="F44" i="2"/>
  <c r="Q54" i="2"/>
  <c r="R54" i="2" s="1"/>
  <c r="R44" i="2"/>
  <c r="G54" i="2"/>
  <c r="H54" i="2" s="1"/>
  <c r="H44" i="2"/>
  <c r="U42" i="2"/>
  <c r="V42" i="2" s="1"/>
  <c r="V35" i="2"/>
  <c r="W29" i="2"/>
  <c r="X29" i="2" s="1"/>
  <c r="X28" i="2"/>
  <c r="H35" i="2"/>
  <c r="G42" i="2"/>
  <c r="H42" i="2" s="1"/>
  <c r="F35" i="2"/>
  <c r="E42" i="2"/>
  <c r="F42" i="2" s="1"/>
  <c r="J35" i="2"/>
  <c r="I42" i="2"/>
  <c r="J42" i="2" s="1"/>
  <c r="L28" i="2"/>
  <c r="K29" i="2"/>
  <c r="L29" i="2" s="1"/>
  <c r="L44" i="2"/>
  <c r="K54" i="2"/>
  <c r="L54" i="2" s="1"/>
  <c r="L35" i="2"/>
  <c r="K42" i="2"/>
  <c r="L42" i="2" s="1"/>
  <c r="V44" i="2"/>
  <c r="U54" i="2"/>
  <c r="V54" i="2" s="1"/>
  <c r="W54" i="2"/>
  <c r="X54" i="2" s="1"/>
  <c r="X44" i="2"/>
  <c r="R35" i="2"/>
  <c r="Q42" i="2"/>
  <c r="R42" i="2" s="1"/>
  <c r="Z28" i="2"/>
  <c r="Y29" i="2"/>
  <c r="Z29" i="2" s="1"/>
  <c r="C29" i="2"/>
  <c r="D28" i="2"/>
  <c r="I54" i="2"/>
  <c r="J54" i="2" s="1"/>
  <c r="J44" i="2"/>
  <c r="C54" i="2"/>
  <c r="D54" i="2" s="1"/>
  <c r="D44" i="2"/>
  <c r="C42" i="2"/>
  <c r="D42" i="2" s="1"/>
  <c r="D35" i="2"/>
  <c r="R28" i="2"/>
  <c r="Q29" i="2"/>
  <c r="R29" i="2" s="1"/>
  <c r="G29" i="2"/>
  <c r="H29" i="2" s="1"/>
  <c r="H28" i="2"/>
  <c r="N29" i="2"/>
  <c r="M31" i="2"/>
  <c r="F28" i="2"/>
  <c r="E29" i="2"/>
  <c r="F29" i="2" s="1"/>
  <c r="J28" i="2"/>
  <c r="I29" i="2"/>
  <c r="J29" i="2" s="1"/>
  <c r="V28" i="2"/>
  <c r="U29" i="2"/>
  <c r="V29" i="2" s="1"/>
  <c r="W42" i="2"/>
  <c r="X42" i="2" s="1"/>
  <c r="X35" i="2"/>
  <c r="Y54" i="2"/>
  <c r="Z54" i="2" s="1"/>
  <c r="Z44" i="2"/>
  <c r="Z35" i="2"/>
  <c r="Y42" i="2"/>
  <c r="Z42" i="2" s="1"/>
  <c r="AK42" i="2" l="1"/>
  <c r="AL42" i="2" s="1"/>
  <c r="T24" i="6"/>
  <c r="D22" i="6"/>
  <c r="R22" i="6"/>
  <c r="D24" i="6"/>
  <c r="V24" i="6"/>
  <c r="J24" i="6"/>
  <c r="H22" i="6"/>
  <c r="H24" i="6"/>
  <c r="Z22" i="6"/>
  <c r="Z24" i="6"/>
  <c r="T22" i="6"/>
  <c r="X24" i="6"/>
  <c r="AP19" i="6"/>
  <c r="AQ56" i="6" s="1"/>
  <c r="AN19" i="6"/>
  <c r="AO10" i="6" s="1"/>
  <c r="L57" i="6"/>
  <c r="K44" i="6"/>
  <c r="K35" i="6"/>
  <c r="K28" i="6"/>
  <c r="L56" i="6"/>
  <c r="L40" i="6"/>
  <c r="L34" i="6"/>
  <c r="L52" i="6"/>
  <c r="L45" i="6"/>
  <c r="L64" i="6"/>
  <c r="L38" i="6"/>
  <c r="L30" i="6"/>
  <c r="L14" i="6"/>
  <c r="L12" i="6"/>
  <c r="L58" i="6"/>
  <c r="L61" i="6"/>
  <c r="L19" i="6"/>
  <c r="L62" i="6"/>
  <c r="L15" i="6"/>
  <c r="L53" i="6"/>
  <c r="L47" i="6"/>
  <c r="L39" i="6"/>
  <c r="L50" i="6"/>
  <c r="L8" i="6"/>
  <c r="L63" i="6"/>
  <c r="L60" i="6"/>
  <c r="L41" i="6"/>
  <c r="L16" i="6"/>
  <c r="L9" i="6"/>
  <c r="L46" i="6"/>
  <c r="L13" i="6"/>
  <c r="L59" i="6"/>
  <c r="L51" i="6"/>
  <c r="L48" i="6"/>
  <c r="L49" i="6"/>
  <c r="L37" i="6"/>
  <c r="L33" i="6"/>
  <c r="L65" i="6"/>
  <c r="L36" i="6"/>
  <c r="L23" i="6"/>
  <c r="L7" i="6"/>
  <c r="AT24" i="6"/>
  <c r="D38" i="1"/>
  <c r="D38" i="7"/>
  <c r="D36" i="1"/>
  <c r="D36" i="7"/>
  <c r="D57" i="1"/>
  <c r="D57" i="7"/>
  <c r="D40" i="1"/>
  <c r="D40" i="7"/>
  <c r="D45" i="1"/>
  <c r="F45" i="1" s="1"/>
  <c r="D45" i="7"/>
  <c r="F45" i="7" s="1"/>
  <c r="D18" i="1"/>
  <c r="F18" i="1" s="1"/>
  <c r="H18" i="1" s="1"/>
  <c r="D18" i="7"/>
  <c r="F18" i="7" s="1"/>
  <c r="AP65" i="6"/>
  <c r="AN24" i="6"/>
  <c r="AO24" i="6" s="1"/>
  <c r="AG24" i="6"/>
  <c r="L10" i="6"/>
  <c r="AR24" i="6"/>
  <c r="AT19" i="6"/>
  <c r="AU10" i="6" s="1"/>
  <c r="AV24" i="6"/>
  <c r="AF22" i="6"/>
  <c r="AE24" i="6"/>
  <c r="AF24" i="6" s="1"/>
  <c r="P24" i="6"/>
  <c r="D64" i="1"/>
  <c r="D64" i="7"/>
  <c r="D51" i="1"/>
  <c r="D51" i="7"/>
  <c r="D50" i="1"/>
  <c r="D50" i="7"/>
  <c r="D56" i="1"/>
  <c r="F56" i="1" s="1"/>
  <c r="H56" i="1" s="1"/>
  <c r="D56" i="7"/>
  <c r="F56" i="7" s="1"/>
  <c r="L22" i="6"/>
  <c r="AG65" i="6"/>
  <c r="AR19" i="6"/>
  <c r="AS10" i="6" s="1"/>
  <c r="AV19" i="6"/>
  <c r="AW10" i="6" s="1"/>
  <c r="AF10" i="6"/>
  <c r="AF12" i="6"/>
  <c r="AF13" i="6"/>
  <c r="AF14" i="6"/>
  <c r="AF15" i="6"/>
  <c r="AF23" i="6"/>
  <c r="AF8" i="6"/>
  <c r="AF58" i="6"/>
  <c r="AF51" i="6"/>
  <c r="AF46" i="6"/>
  <c r="AF41" i="6"/>
  <c r="AF52" i="6"/>
  <c r="AF47" i="6"/>
  <c r="AT47" i="6" s="1"/>
  <c r="AF40" i="6"/>
  <c r="AF19" i="6"/>
  <c r="AF50" i="6"/>
  <c r="AF38" i="6"/>
  <c r="AF37" i="6"/>
  <c r="AF30" i="6"/>
  <c r="AF48" i="6"/>
  <c r="AF57" i="6"/>
  <c r="AF34" i="6"/>
  <c r="AF9" i="6"/>
  <c r="AF63" i="6"/>
  <c r="AE44" i="6"/>
  <c r="AF33" i="6"/>
  <c r="AF36" i="6"/>
  <c r="AF64" i="6"/>
  <c r="AF61" i="6"/>
  <c r="AE28" i="6"/>
  <c r="AF45" i="6"/>
  <c r="AF16" i="6"/>
  <c r="AF53" i="6"/>
  <c r="AF39" i="6"/>
  <c r="AF62" i="6"/>
  <c r="AF60" i="6"/>
  <c r="AE35" i="6"/>
  <c r="AF49" i="6"/>
  <c r="AF67" i="6"/>
  <c r="AF59" i="6"/>
  <c r="V61" i="6"/>
  <c r="V41" i="6"/>
  <c r="V30" i="6"/>
  <c r="V34" i="6"/>
  <c r="V12" i="6"/>
  <c r="V57" i="6"/>
  <c r="V39" i="6"/>
  <c r="V53" i="6"/>
  <c r="V46" i="6"/>
  <c r="V8" i="6"/>
  <c r="V49" i="6"/>
  <c r="V64" i="6"/>
  <c r="V59" i="6"/>
  <c r="V65" i="6"/>
  <c r="V9" i="6"/>
  <c r="V48" i="6"/>
  <c r="U35" i="6"/>
  <c r="V19" i="6"/>
  <c r="V45" i="6"/>
  <c r="V13" i="6"/>
  <c r="U44" i="6"/>
  <c r="V58" i="6"/>
  <c r="U28" i="6"/>
  <c r="V16" i="6"/>
  <c r="V23" i="6"/>
  <c r="V52" i="6"/>
  <c r="V60" i="6"/>
  <c r="V40" i="6"/>
  <c r="V38" i="6"/>
  <c r="V14" i="6"/>
  <c r="V51" i="6"/>
  <c r="V63" i="6"/>
  <c r="V47" i="6"/>
  <c r="V37" i="6"/>
  <c r="V33" i="6"/>
  <c r="V62" i="6"/>
  <c r="V50" i="6"/>
  <c r="V36" i="6"/>
  <c r="V15" i="6"/>
  <c r="V56" i="6"/>
  <c r="V7" i="6"/>
  <c r="D23" i="1"/>
  <c r="F23" i="1" s="1"/>
  <c r="D23" i="7"/>
  <c r="F23" i="7" s="1"/>
  <c r="D39" i="1"/>
  <c r="D39" i="7"/>
  <c r="D30" i="1"/>
  <c r="F30" i="1" s="1"/>
  <c r="H30" i="1" s="1"/>
  <c r="D30" i="7"/>
  <c r="F30" i="7" s="1"/>
  <c r="D24" i="1"/>
  <c r="F24" i="1" s="1"/>
  <c r="H24" i="1" s="1"/>
  <c r="D24" i="7"/>
  <c r="F24" i="7" s="1"/>
  <c r="AK24" i="6"/>
  <c r="AI24" i="6"/>
  <c r="L24" i="6"/>
  <c r="AG19" i="6"/>
  <c r="AH10" i="6" s="1"/>
  <c r="J14" i="6"/>
  <c r="J12" i="6"/>
  <c r="J15" i="6"/>
  <c r="J23" i="6"/>
  <c r="J57" i="6"/>
  <c r="J58" i="6"/>
  <c r="I44" i="6"/>
  <c r="J19" i="6"/>
  <c r="J56" i="6"/>
  <c r="J47" i="6"/>
  <c r="J41" i="6"/>
  <c r="I28" i="6"/>
  <c r="J53" i="6"/>
  <c r="J46" i="6"/>
  <c r="J52" i="6"/>
  <c r="J40" i="6"/>
  <c r="J13" i="6"/>
  <c r="J34" i="6"/>
  <c r="J51" i="6"/>
  <c r="J60" i="6"/>
  <c r="J45" i="6"/>
  <c r="J33" i="6"/>
  <c r="J49" i="6"/>
  <c r="J48" i="6"/>
  <c r="J38" i="6"/>
  <c r="J8" i="6"/>
  <c r="J63" i="6"/>
  <c r="J64" i="6"/>
  <c r="J30" i="6"/>
  <c r="J36" i="6"/>
  <c r="J65" i="6"/>
  <c r="J61" i="6"/>
  <c r="J62" i="6"/>
  <c r="J9" i="6"/>
  <c r="J59" i="6"/>
  <c r="J50" i="6"/>
  <c r="J39" i="6"/>
  <c r="J37" i="6"/>
  <c r="J16" i="6"/>
  <c r="I35" i="6"/>
  <c r="J7" i="6"/>
  <c r="AR65" i="6"/>
  <c r="AS65" i="6" s="1"/>
  <c r="R12" i="6"/>
  <c r="R15" i="6"/>
  <c r="R23" i="6"/>
  <c r="R13" i="6"/>
  <c r="R50" i="6"/>
  <c r="R41" i="6"/>
  <c r="R59" i="6"/>
  <c r="R30" i="6"/>
  <c r="R48" i="6"/>
  <c r="Q44" i="6"/>
  <c r="Q35" i="6"/>
  <c r="R19" i="6"/>
  <c r="R63" i="6"/>
  <c r="R56" i="6"/>
  <c r="R47" i="6"/>
  <c r="R8" i="6"/>
  <c r="R34" i="6"/>
  <c r="R64" i="6"/>
  <c r="R61" i="6"/>
  <c r="R45" i="6"/>
  <c r="R53" i="6"/>
  <c r="R65" i="6"/>
  <c r="R62" i="6"/>
  <c r="R51" i="6"/>
  <c r="R39" i="6"/>
  <c r="R40" i="6"/>
  <c r="R60" i="6"/>
  <c r="R57" i="6"/>
  <c r="R37" i="6"/>
  <c r="Q28" i="6"/>
  <c r="R9" i="6"/>
  <c r="R36" i="6"/>
  <c r="R58" i="6"/>
  <c r="R49" i="6"/>
  <c r="R16" i="6"/>
  <c r="R52" i="6"/>
  <c r="R46" i="6"/>
  <c r="R33" i="6"/>
  <c r="R38" i="6"/>
  <c r="R14" i="6"/>
  <c r="R7" i="6"/>
  <c r="AC65" i="6"/>
  <c r="AV65" i="6"/>
  <c r="AF56" i="6"/>
  <c r="AE65" i="6"/>
  <c r="AF65" i="6" s="1"/>
  <c r="V22" i="6"/>
  <c r="V10" i="6"/>
  <c r="D22" i="1"/>
  <c r="F22" i="1" s="1"/>
  <c r="H22" i="1" s="1"/>
  <c r="D22" i="7"/>
  <c r="F22" i="7" s="1"/>
  <c r="AK65" i="6"/>
  <c r="AI19" i="6"/>
  <c r="AJ10" i="6" s="1"/>
  <c r="N23" i="6"/>
  <c r="N15" i="6"/>
  <c r="N8" i="6"/>
  <c r="N13" i="6"/>
  <c r="N62" i="6"/>
  <c r="N48" i="6"/>
  <c r="N61" i="6"/>
  <c r="N60" i="6"/>
  <c r="M35" i="6"/>
  <c r="N39" i="6"/>
  <c r="N12" i="6"/>
  <c r="N57" i="6"/>
  <c r="M44" i="6"/>
  <c r="N34" i="6"/>
  <c r="M28" i="6"/>
  <c r="N14" i="6"/>
  <c r="N56" i="6"/>
  <c r="N63" i="6"/>
  <c r="N58" i="6"/>
  <c r="N37" i="6"/>
  <c r="N9" i="6"/>
  <c r="N53" i="6"/>
  <c r="N46" i="6"/>
  <c r="N52" i="6"/>
  <c r="N33" i="6"/>
  <c r="N45" i="6"/>
  <c r="N51" i="6"/>
  <c r="N40" i="6"/>
  <c r="N41" i="6"/>
  <c r="N50" i="6"/>
  <c r="N65" i="6"/>
  <c r="N49" i="6"/>
  <c r="N38" i="6"/>
  <c r="N36" i="6"/>
  <c r="N47" i="6"/>
  <c r="N16" i="6"/>
  <c r="N64" i="6"/>
  <c r="N59" i="6"/>
  <c r="N19" i="6"/>
  <c r="N30" i="6"/>
  <c r="N7" i="6"/>
  <c r="AC19" i="6"/>
  <c r="P16" i="6"/>
  <c r="P23" i="6"/>
  <c r="P58" i="6"/>
  <c r="P48" i="6"/>
  <c r="O44" i="6"/>
  <c r="P53" i="6"/>
  <c r="P63" i="6"/>
  <c r="P34" i="6"/>
  <c r="P37" i="6"/>
  <c r="P30" i="6"/>
  <c r="P15" i="6"/>
  <c r="P46" i="6"/>
  <c r="P52" i="6"/>
  <c r="P33" i="6"/>
  <c r="P19" i="6"/>
  <c r="P40" i="6"/>
  <c r="P49" i="6"/>
  <c r="P59" i="6"/>
  <c r="P65" i="6"/>
  <c r="P13" i="6"/>
  <c r="P38" i="6"/>
  <c r="P41" i="6"/>
  <c r="P57" i="6"/>
  <c r="P36" i="6"/>
  <c r="P14" i="6"/>
  <c r="P64" i="6"/>
  <c r="P51" i="6"/>
  <c r="O28" i="6"/>
  <c r="O35" i="6"/>
  <c r="P62" i="6"/>
  <c r="P45" i="6"/>
  <c r="P56" i="6"/>
  <c r="P50" i="6"/>
  <c r="P8" i="6"/>
  <c r="P12" i="6"/>
  <c r="P60" i="6"/>
  <c r="P61" i="6"/>
  <c r="P39" i="6"/>
  <c r="P47" i="6"/>
  <c r="P9" i="6"/>
  <c r="P7" i="6"/>
  <c r="D62" i="1"/>
  <c r="D62" i="7"/>
  <c r="D46" i="1"/>
  <c r="D46" i="7"/>
  <c r="D53" i="1"/>
  <c r="D53" i="7"/>
  <c r="D48" i="1"/>
  <c r="D48" i="7"/>
  <c r="D37" i="1"/>
  <c r="D37" i="7"/>
  <c r="AK19" i="6"/>
  <c r="AI65" i="6"/>
  <c r="J22" i="6"/>
  <c r="R24" i="6"/>
  <c r="N10" i="6"/>
  <c r="AZ19" i="6"/>
  <c r="BA10" i="6" s="1"/>
  <c r="Z15" i="6"/>
  <c r="Z13" i="6"/>
  <c r="Z56" i="6"/>
  <c r="Z60" i="6"/>
  <c r="Z30" i="6"/>
  <c r="Z19" i="6"/>
  <c r="Z14" i="6"/>
  <c r="Z53" i="6"/>
  <c r="Z39" i="6"/>
  <c r="Z46" i="6"/>
  <c r="Y28" i="6"/>
  <c r="Z51" i="6"/>
  <c r="Z38" i="6"/>
  <c r="Z40" i="6"/>
  <c r="Z8" i="6"/>
  <c r="Z12" i="6"/>
  <c r="Z49" i="6"/>
  <c r="Z37" i="6"/>
  <c r="Z58" i="6"/>
  <c r="Z36" i="6"/>
  <c r="Z63" i="6"/>
  <c r="Z64" i="6"/>
  <c r="Z33" i="6"/>
  <c r="Z48" i="6"/>
  <c r="Z65" i="6"/>
  <c r="Z61" i="6"/>
  <c r="Z62" i="6"/>
  <c r="Z45" i="6"/>
  <c r="Y44" i="6"/>
  <c r="Z9" i="6"/>
  <c r="Z59" i="6"/>
  <c r="Z52" i="6"/>
  <c r="Z47" i="6"/>
  <c r="AN47" i="6" s="1"/>
  <c r="Z34" i="6"/>
  <c r="Z16" i="6"/>
  <c r="Z57" i="6"/>
  <c r="Z50" i="6"/>
  <c r="Z41" i="6"/>
  <c r="Y35" i="6"/>
  <c r="Z23" i="6"/>
  <c r="Z7" i="6"/>
  <c r="AC24" i="6"/>
  <c r="AX19" i="6"/>
  <c r="AY10" i="6" s="1"/>
  <c r="P10" i="6"/>
  <c r="X16" i="6"/>
  <c r="X9" i="6"/>
  <c r="X47" i="6"/>
  <c r="X40" i="6"/>
  <c r="W28" i="6"/>
  <c r="X19" i="6"/>
  <c r="X41" i="6"/>
  <c r="X37" i="6"/>
  <c r="X64" i="6"/>
  <c r="X36" i="6"/>
  <c r="X23" i="6"/>
  <c r="X39" i="6"/>
  <c r="X33" i="6"/>
  <c r="X38" i="6"/>
  <c r="X65" i="6"/>
  <c r="X63" i="6"/>
  <c r="X52" i="6"/>
  <c r="X30" i="6"/>
  <c r="X51" i="6"/>
  <c r="X8" i="6"/>
  <c r="X13" i="6"/>
  <c r="X15" i="6"/>
  <c r="X61" i="6"/>
  <c r="X45" i="6"/>
  <c r="X53" i="6"/>
  <c r="X46" i="6"/>
  <c r="X59" i="6"/>
  <c r="X62" i="6"/>
  <c r="X50" i="6"/>
  <c r="X48" i="6"/>
  <c r="X14" i="6"/>
  <c r="X60" i="6"/>
  <c r="X58" i="6"/>
  <c r="X57" i="6"/>
  <c r="W35" i="6"/>
  <c r="X12" i="6"/>
  <c r="X56" i="6"/>
  <c r="X49" i="6"/>
  <c r="W44" i="6"/>
  <c r="X34" i="6"/>
  <c r="X7" i="6"/>
  <c r="X22" i="6"/>
  <c r="D49" i="1"/>
  <c r="D49" i="7"/>
  <c r="D33" i="1"/>
  <c r="D33" i="7"/>
  <c r="D52" i="1"/>
  <c r="D52" i="7"/>
  <c r="D41" i="1"/>
  <c r="D41" i="7"/>
  <c r="D58" i="1"/>
  <c r="F58" i="1" s="1"/>
  <c r="F65" i="1" s="1"/>
  <c r="D58" i="7"/>
  <c r="F58" i="7" s="1"/>
  <c r="D63" i="1"/>
  <c r="D63" i="7"/>
  <c r="N24" i="6"/>
  <c r="H9" i="6"/>
  <c r="H15" i="6"/>
  <c r="H47" i="6"/>
  <c r="H51" i="6"/>
  <c r="H60" i="6"/>
  <c r="H49" i="6"/>
  <c r="H41" i="6"/>
  <c r="H38" i="6"/>
  <c r="H48" i="6"/>
  <c r="H19" i="6"/>
  <c r="H23" i="6"/>
  <c r="H12" i="6"/>
  <c r="H14" i="6"/>
  <c r="H13" i="6"/>
  <c r="H39" i="6"/>
  <c r="H37" i="6"/>
  <c r="H40" i="6"/>
  <c r="H52" i="6"/>
  <c r="H53" i="6"/>
  <c r="H33" i="6"/>
  <c r="G28" i="6"/>
  <c r="H50" i="6"/>
  <c r="H30" i="6"/>
  <c r="G35" i="6"/>
  <c r="H36" i="6"/>
  <c r="H63" i="6"/>
  <c r="H45" i="6"/>
  <c r="G44" i="6"/>
  <c r="H56" i="6"/>
  <c r="H65" i="6"/>
  <c r="H16" i="6"/>
  <c r="H61" i="6"/>
  <c r="H58" i="6"/>
  <c r="H64" i="6"/>
  <c r="H34" i="6"/>
  <c r="H8" i="6"/>
  <c r="H59" i="6"/>
  <c r="H62" i="6"/>
  <c r="H46" i="6"/>
  <c r="H57" i="6"/>
  <c r="H7" i="6"/>
  <c r="AZ65" i="6"/>
  <c r="AY56" i="6"/>
  <c r="AX65" i="6"/>
  <c r="D48" i="6"/>
  <c r="D57" i="6"/>
  <c r="D49" i="6"/>
  <c r="D30" i="6"/>
  <c r="N18" i="6"/>
  <c r="D36" i="6"/>
  <c r="D13" i="6"/>
  <c r="D64" i="6"/>
  <c r="D56" i="6"/>
  <c r="X18" i="6"/>
  <c r="T18" i="6"/>
  <c r="D53" i="6"/>
  <c r="D65" i="6"/>
  <c r="D14" i="6"/>
  <c r="D59" i="6"/>
  <c r="D61" i="6"/>
  <c r="H18" i="6"/>
  <c r="D18" i="6"/>
  <c r="L18" i="6"/>
  <c r="D12" i="6"/>
  <c r="D9" i="6"/>
  <c r="D50" i="6"/>
  <c r="D51" i="6"/>
  <c r="D19" i="6"/>
  <c r="R18" i="6"/>
  <c r="J18" i="6"/>
  <c r="D8" i="6"/>
  <c r="D47" i="6"/>
  <c r="D38" i="6"/>
  <c r="V18" i="6"/>
  <c r="C28" i="6"/>
  <c r="D34" i="6"/>
  <c r="D63" i="6"/>
  <c r="C44" i="6"/>
  <c r="D37" i="6"/>
  <c r="F18" i="6"/>
  <c r="D60" i="6"/>
  <c r="D45" i="6"/>
  <c r="D15" i="6"/>
  <c r="D52" i="6"/>
  <c r="P18" i="6"/>
  <c r="D39" i="6"/>
  <c r="D16" i="6"/>
  <c r="C35" i="6"/>
  <c r="Z18" i="6"/>
  <c r="D41" i="6"/>
  <c r="D58" i="6"/>
  <c r="D23" i="6"/>
  <c r="D33" i="6"/>
  <c r="D46" i="6"/>
  <c r="D40" i="6"/>
  <c r="D62" i="6"/>
  <c r="D7" i="6"/>
  <c r="F10" i="6"/>
  <c r="D47" i="1"/>
  <c r="D47" i="7"/>
  <c r="D59" i="1"/>
  <c r="D59" i="7"/>
  <c r="D34" i="1"/>
  <c r="D34" i="7"/>
  <c r="D61" i="1"/>
  <c r="D61" i="7"/>
  <c r="D60" i="1"/>
  <c r="D60" i="7"/>
  <c r="AQ22" i="6"/>
  <c r="AP24" i="6"/>
  <c r="AQ24" i="6" s="1"/>
  <c r="AN65" i="6"/>
  <c r="N22" i="6"/>
  <c r="J10" i="7"/>
  <c r="L7" i="7"/>
  <c r="AU56" i="6"/>
  <c r="AT65" i="6"/>
  <c r="T15" i="6"/>
  <c r="T14" i="6"/>
  <c r="T57" i="6"/>
  <c r="T41" i="6"/>
  <c r="T46" i="6"/>
  <c r="T62" i="6"/>
  <c r="T65" i="6"/>
  <c r="T49" i="6"/>
  <c r="T39" i="6"/>
  <c r="T34" i="6"/>
  <c r="T51" i="6"/>
  <c r="T13" i="6"/>
  <c r="T48" i="6"/>
  <c r="T64" i="6"/>
  <c r="T59" i="6"/>
  <c r="T9" i="6"/>
  <c r="T60" i="6"/>
  <c r="T40" i="6"/>
  <c r="T19" i="6"/>
  <c r="T23" i="6"/>
  <c r="T12" i="6"/>
  <c r="T56" i="6"/>
  <c r="T37" i="6"/>
  <c r="T50" i="6"/>
  <c r="T16" i="6"/>
  <c r="T58" i="6"/>
  <c r="T52" i="6"/>
  <c r="S35" i="6"/>
  <c r="T38" i="6"/>
  <c r="T8" i="6"/>
  <c r="T63" i="6"/>
  <c r="T47" i="6"/>
  <c r="T33" i="6"/>
  <c r="T30" i="6"/>
  <c r="T45" i="6"/>
  <c r="T61" i="6"/>
  <c r="S44" i="6"/>
  <c r="T53" i="6"/>
  <c r="S28" i="6"/>
  <c r="T36" i="6"/>
  <c r="T7" i="6"/>
  <c r="AX24" i="6"/>
  <c r="F52" i="6"/>
  <c r="F41" i="6"/>
  <c r="F33" i="6"/>
  <c r="F19" i="6"/>
  <c r="F65" i="6"/>
  <c r="F15" i="6"/>
  <c r="F50" i="6"/>
  <c r="F39" i="6"/>
  <c r="F30" i="6"/>
  <c r="E28" i="6"/>
  <c r="F16" i="6"/>
  <c r="F63" i="6"/>
  <c r="F53" i="6"/>
  <c r="F58" i="6"/>
  <c r="F56" i="6"/>
  <c r="F9" i="6"/>
  <c r="F61" i="6"/>
  <c r="E35" i="6"/>
  <c r="F60" i="6"/>
  <c r="F34" i="6"/>
  <c r="F14" i="6"/>
  <c r="F64" i="6"/>
  <c r="F62" i="6"/>
  <c r="F36" i="6"/>
  <c r="F57" i="6"/>
  <c r="F12" i="6"/>
  <c r="F59" i="6"/>
  <c r="F51" i="6"/>
  <c r="F48" i="6"/>
  <c r="F49" i="6"/>
  <c r="F8" i="6"/>
  <c r="E44" i="6"/>
  <c r="F38" i="6"/>
  <c r="F46" i="6"/>
  <c r="F47" i="6"/>
  <c r="F37" i="6"/>
  <c r="F40" i="6"/>
  <c r="F45" i="6"/>
  <c r="F23" i="6"/>
  <c r="F13" i="6"/>
  <c r="F7" i="6"/>
  <c r="F24" i="6"/>
  <c r="AY28" i="2"/>
  <c r="AZ54" i="2"/>
  <c r="BA54" i="2" s="1"/>
  <c r="AK29" i="2"/>
  <c r="AL29" i="2" s="1"/>
  <c r="AC31" i="2"/>
  <c r="AC68" i="2" s="1"/>
  <c r="AD68" i="2" s="1"/>
  <c r="AD35" i="2"/>
  <c r="AD28" i="2"/>
  <c r="AX42" i="2"/>
  <c r="AY42" i="2" s="1"/>
  <c r="AP42" i="2"/>
  <c r="AQ42" i="2" s="1"/>
  <c r="AG31" i="2"/>
  <c r="AG70" i="2" s="1"/>
  <c r="AH70" i="2" s="1"/>
  <c r="AI29" i="2"/>
  <c r="AJ29" i="2" s="1"/>
  <c r="L16" i="1"/>
  <c r="H23" i="1"/>
  <c r="H45" i="1"/>
  <c r="AP29" i="2"/>
  <c r="AQ29" i="2" s="1"/>
  <c r="AH28" i="2"/>
  <c r="AZ29" i="2"/>
  <c r="BA29" i="2" s="1"/>
  <c r="AH44" i="2"/>
  <c r="AI42" i="2"/>
  <c r="AJ42" i="2" s="1"/>
  <c r="AR42" i="2"/>
  <c r="AS42" i="2" s="1"/>
  <c r="AH35" i="2"/>
  <c r="AJ44" i="2"/>
  <c r="AZ42" i="2"/>
  <c r="BA42" i="2" s="1"/>
  <c r="S31" i="2"/>
  <c r="S70" i="2" s="1"/>
  <c r="T70" i="2" s="1"/>
  <c r="AF44" i="2"/>
  <c r="AE29" i="2"/>
  <c r="AF29" i="2" s="1"/>
  <c r="AS28" i="2"/>
  <c r="AX54" i="2"/>
  <c r="AY54" i="2" s="1"/>
  <c r="BB62" i="2"/>
  <c r="AO44" i="2"/>
  <c r="AN42" i="2"/>
  <c r="AO42" i="2" s="1"/>
  <c r="BB50" i="2"/>
  <c r="AO28" i="2"/>
  <c r="BB58" i="2"/>
  <c r="BB15" i="2"/>
  <c r="BB13" i="2"/>
  <c r="BB45" i="2"/>
  <c r="AT54" i="2"/>
  <c r="AE42" i="2"/>
  <c r="AF42" i="2" s="1"/>
  <c r="BB60" i="2"/>
  <c r="BB64" i="2"/>
  <c r="BA44" i="2"/>
  <c r="BB41" i="2"/>
  <c r="BB10" i="2"/>
  <c r="BB9" i="2"/>
  <c r="BB37" i="2"/>
  <c r="BB59" i="2"/>
  <c r="BB22" i="2"/>
  <c r="BB16" i="2"/>
  <c r="BB40" i="2"/>
  <c r="BB34" i="2"/>
  <c r="BB30" i="2"/>
  <c r="BB14" i="2"/>
  <c r="BB12" i="2"/>
  <c r="BB57" i="2"/>
  <c r="BB61" i="2"/>
  <c r="BB8" i="2"/>
  <c r="BB46" i="2"/>
  <c r="BB36" i="2"/>
  <c r="BB33" i="2"/>
  <c r="BB39" i="2"/>
  <c r="BB23" i="2"/>
  <c r="BB56" i="2"/>
  <c r="BB63" i="2"/>
  <c r="BB19" i="2"/>
  <c r="BB48" i="2"/>
  <c r="BB51" i="2"/>
  <c r="BB7" i="2"/>
  <c r="AR54" i="2"/>
  <c r="AS54" i="2" s="1"/>
  <c r="BB65" i="2"/>
  <c r="BB52" i="2"/>
  <c r="BB67" i="2"/>
  <c r="AT31" i="2"/>
  <c r="AU31" i="2" s="1"/>
  <c r="BB49" i="2"/>
  <c r="BB38" i="2"/>
  <c r="BB53" i="2"/>
  <c r="AV54" i="2"/>
  <c r="AW54" i="2" s="1"/>
  <c r="AV29" i="2"/>
  <c r="AW35" i="2"/>
  <c r="AV42" i="2"/>
  <c r="AW42" i="2" s="1"/>
  <c r="BB24" i="2"/>
  <c r="AN31" i="2"/>
  <c r="AX31" i="2"/>
  <c r="AY31" i="2" s="1"/>
  <c r="AR31" i="2"/>
  <c r="AA44" i="2"/>
  <c r="AA28" i="2"/>
  <c r="AA35" i="2"/>
  <c r="O68" i="2"/>
  <c r="P68" i="2" s="1"/>
  <c r="P31" i="2"/>
  <c r="G31" i="2"/>
  <c r="H31" i="2" s="1"/>
  <c r="E31" i="2"/>
  <c r="E68" i="2" s="1"/>
  <c r="F68" i="2" s="1"/>
  <c r="I31" i="2"/>
  <c r="I68" i="2" s="1"/>
  <c r="J68" i="2" s="1"/>
  <c r="N31" i="2"/>
  <c r="M70" i="2"/>
  <c r="N70" i="2" s="1"/>
  <c r="M68" i="2"/>
  <c r="N68" i="2" s="1"/>
  <c r="C31" i="2"/>
  <c r="D29" i="2"/>
  <c r="AA29" i="2" s="1"/>
  <c r="U31" i="2"/>
  <c r="Q31" i="2"/>
  <c r="Y31" i="2"/>
  <c r="W31" i="2"/>
  <c r="K31" i="2"/>
  <c r="AO56" i="6" l="1"/>
  <c r="AO65" i="6"/>
  <c r="AO47" i="6"/>
  <c r="BA56" i="6"/>
  <c r="BA24" i="6"/>
  <c r="AY22" i="6"/>
  <c r="AS56" i="6"/>
  <c r="AW56" i="6"/>
  <c r="AW65" i="6"/>
  <c r="AU65" i="6"/>
  <c r="H58" i="1"/>
  <c r="H65" i="1" s="1"/>
  <c r="AU22" i="6"/>
  <c r="AJ65" i="6"/>
  <c r="AY65" i="6"/>
  <c r="AS22" i="6"/>
  <c r="BA65" i="6"/>
  <c r="AU47" i="6"/>
  <c r="AS24" i="6"/>
  <c r="AA22" i="6"/>
  <c r="AQ10" i="6"/>
  <c r="AJ56" i="6"/>
  <c r="AA41" i="6"/>
  <c r="AQ65" i="6"/>
  <c r="AY24" i="6"/>
  <c r="AA62" i="6"/>
  <c r="AA45" i="6"/>
  <c r="AA50" i="6"/>
  <c r="AA36" i="6"/>
  <c r="H44" i="6"/>
  <c r="G54" i="6"/>
  <c r="H54" i="6" s="1"/>
  <c r="AD24" i="6"/>
  <c r="Z28" i="6"/>
  <c r="Y29" i="6"/>
  <c r="Z29" i="6" s="1"/>
  <c r="AD40" i="6"/>
  <c r="AD57" i="6"/>
  <c r="AC28" i="6"/>
  <c r="AD36" i="6"/>
  <c r="AD13" i="6"/>
  <c r="AD16" i="6"/>
  <c r="AD67" i="6"/>
  <c r="AD64" i="6"/>
  <c r="AD59" i="6"/>
  <c r="AD61" i="6"/>
  <c r="AD48" i="6"/>
  <c r="AD12" i="6"/>
  <c r="AD62" i="6"/>
  <c r="AD53" i="6"/>
  <c r="AD41" i="6"/>
  <c r="AD49" i="6"/>
  <c r="AD8" i="6"/>
  <c r="AD51" i="6"/>
  <c r="AD52" i="6"/>
  <c r="AD60" i="6"/>
  <c r="AC35" i="6"/>
  <c r="AD30" i="6"/>
  <c r="AD37" i="6"/>
  <c r="AD47" i="6"/>
  <c r="AD23" i="6"/>
  <c r="AD58" i="6"/>
  <c r="AD34" i="6"/>
  <c r="AD19" i="6"/>
  <c r="AD33" i="6"/>
  <c r="AD15" i="6"/>
  <c r="AD45" i="6"/>
  <c r="AD38" i="6"/>
  <c r="AD46" i="6"/>
  <c r="AD50" i="6"/>
  <c r="AD63" i="6"/>
  <c r="AD39" i="6"/>
  <c r="AD9" i="6"/>
  <c r="AD14" i="6"/>
  <c r="AC44" i="6"/>
  <c r="AD7" i="6"/>
  <c r="H22" i="7"/>
  <c r="H24" i="7"/>
  <c r="AH65" i="6"/>
  <c r="L35" i="6"/>
  <c r="K42" i="6"/>
  <c r="L42" i="6" s="1"/>
  <c r="AA60" i="6"/>
  <c r="AA38" i="6"/>
  <c r="W42" i="6"/>
  <c r="X42" i="6" s="1"/>
  <c r="X35" i="6"/>
  <c r="AD10" i="6"/>
  <c r="AD56" i="6"/>
  <c r="I42" i="6"/>
  <c r="J42" i="6" s="1"/>
  <c r="J35" i="6"/>
  <c r="U42" i="6"/>
  <c r="V42" i="6" s="1"/>
  <c r="V35" i="6"/>
  <c r="K54" i="6"/>
  <c r="L54" i="6" s="1"/>
  <c r="L44" i="6"/>
  <c r="C42" i="6"/>
  <c r="D42" i="6" s="1"/>
  <c r="D35" i="6"/>
  <c r="AA47" i="6"/>
  <c r="AA53" i="6"/>
  <c r="AA30" i="6"/>
  <c r="AL61" i="6"/>
  <c r="AL39" i="6"/>
  <c r="AL30" i="6"/>
  <c r="AL19" i="6"/>
  <c r="AL12" i="6"/>
  <c r="AL67" i="6"/>
  <c r="AL37" i="6"/>
  <c r="AL51" i="6"/>
  <c r="AK28" i="6"/>
  <c r="AL59" i="6"/>
  <c r="AL64" i="6"/>
  <c r="AL62" i="6"/>
  <c r="AL50" i="6"/>
  <c r="AL23" i="6"/>
  <c r="AL47" i="6"/>
  <c r="AZ47" i="6" s="1"/>
  <c r="BA47" i="6" s="1"/>
  <c r="AL58" i="6"/>
  <c r="AL49" i="6"/>
  <c r="AL60" i="6"/>
  <c r="AL53" i="6"/>
  <c r="AL13" i="6"/>
  <c r="AL33" i="6"/>
  <c r="AL48" i="6"/>
  <c r="AL57" i="6"/>
  <c r="AL38" i="6"/>
  <c r="AL16" i="6"/>
  <c r="AL8" i="6"/>
  <c r="AL45" i="6"/>
  <c r="AL46" i="6"/>
  <c r="AL52" i="6"/>
  <c r="AL14" i="6"/>
  <c r="AL15" i="6"/>
  <c r="AK44" i="6"/>
  <c r="AK35" i="6"/>
  <c r="AL40" i="6"/>
  <c r="AL36" i="6"/>
  <c r="AL9" i="6"/>
  <c r="AL63" i="6"/>
  <c r="AL41" i="6"/>
  <c r="AL34" i="6"/>
  <c r="AL7" i="6"/>
  <c r="AD65" i="6"/>
  <c r="R35" i="6"/>
  <c r="Q42" i="6"/>
  <c r="R42" i="6" s="1"/>
  <c r="I54" i="6"/>
  <c r="J54" i="6" s="1"/>
  <c r="J44" i="6"/>
  <c r="AH58" i="6"/>
  <c r="AH41" i="6"/>
  <c r="AH46" i="6"/>
  <c r="AH49" i="6"/>
  <c r="AH63" i="6"/>
  <c r="AH39" i="6"/>
  <c r="AH33" i="6"/>
  <c r="AH40" i="6"/>
  <c r="AH67" i="6"/>
  <c r="AH37" i="6"/>
  <c r="AH59" i="6"/>
  <c r="AH34" i="6"/>
  <c r="AH12" i="6"/>
  <c r="AH47" i="6"/>
  <c r="AV47" i="6" s="1"/>
  <c r="AW47" i="6" s="1"/>
  <c r="AG35" i="6"/>
  <c r="AH13" i="6"/>
  <c r="AH62" i="6"/>
  <c r="AH50" i="6"/>
  <c r="AH61" i="6"/>
  <c r="AH60" i="6"/>
  <c r="AH23" i="6"/>
  <c r="AH15" i="6"/>
  <c r="AH51" i="6"/>
  <c r="AG44" i="6"/>
  <c r="AH64" i="6"/>
  <c r="AH19" i="6"/>
  <c r="AH48" i="6"/>
  <c r="AH38" i="6"/>
  <c r="AH36" i="6"/>
  <c r="AG28" i="6"/>
  <c r="AH57" i="6"/>
  <c r="AH30" i="6"/>
  <c r="AH14" i="6"/>
  <c r="AH8" i="6"/>
  <c r="AH16" i="6"/>
  <c r="AH45" i="6"/>
  <c r="AH52" i="6"/>
  <c r="AH9" i="6"/>
  <c r="AH53" i="6"/>
  <c r="AH7" i="6"/>
  <c r="H30" i="7"/>
  <c r="AF44" i="6"/>
  <c r="AE54" i="6"/>
  <c r="AF54" i="6" s="1"/>
  <c r="H56" i="7"/>
  <c r="F65" i="7"/>
  <c r="H18" i="7"/>
  <c r="D29" i="1"/>
  <c r="F29" i="1" s="1"/>
  <c r="H29" i="1" s="1"/>
  <c r="D29" i="7"/>
  <c r="F29" i="7" s="1"/>
  <c r="T28" i="6"/>
  <c r="S29" i="6"/>
  <c r="T29" i="6" s="1"/>
  <c r="AA40" i="6"/>
  <c r="AA37" i="6"/>
  <c r="AA49" i="6"/>
  <c r="AL10" i="6"/>
  <c r="O42" i="6"/>
  <c r="P42" i="6" s="1"/>
  <c r="P35" i="6"/>
  <c r="O54" i="6"/>
  <c r="P54" i="6" s="1"/>
  <c r="P44" i="6"/>
  <c r="M42" i="6"/>
  <c r="N42" i="6" s="1"/>
  <c r="N35" i="6"/>
  <c r="R44" i="6"/>
  <c r="Q54" i="6"/>
  <c r="R54" i="6" s="1"/>
  <c r="AA24" i="6"/>
  <c r="V28" i="6"/>
  <c r="U29" i="6"/>
  <c r="V29" i="6" s="1"/>
  <c r="F16" i="1"/>
  <c r="F19" i="1" s="1"/>
  <c r="G30" i="1" s="1"/>
  <c r="F16" i="7"/>
  <c r="E42" i="6"/>
  <c r="F42" i="6" s="1"/>
  <c r="F35" i="6"/>
  <c r="F28" i="6"/>
  <c r="E29" i="6"/>
  <c r="F29" i="6" s="1"/>
  <c r="AA46" i="6"/>
  <c r="AA39" i="6"/>
  <c r="C54" i="6"/>
  <c r="D54" i="6" s="1"/>
  <c r="D44" i="6"/>
  <c r="AA18" i="6"/>
  <c r="AA57" i="6"/>
  <c r="G42" i="6"/>
  <c r="H42" i="6" s="1"/>
  <c r="H35" i="6"/>
  <c r="Y42" i="6"/>
  <c r="Z42" i="6" s="1"/>
  <c r="Z35" i="6"/>
  <c r="BA22" i="6"/>
  <c r="BA59" i="6"/>
  <c r="BA49" i="6"/>
  <c r="BA46" i="6"/>
  <c r="BA64" i="6"/>
  <c r="BA40" i="6"/>
  <c r="BA53" i="6"/>
  <c r="BA62" i="6"/>
  <c r="BA8" i="6"/>
  <c r="BA45" i="6"/>
  <c r="BA33" i="6"/>
  <c r="BA37" i="6"/>
  <c r="BA9" i="6"/>
  <c r="BA14" i="6"/>
  <c r="BA52" i="6"/>
  <c r="BA41" i="6"/>
  <c r="BA30" i="6"/>
  <c r="BA36" i="6"/>
  <c r="BA60" i="6"/>
  <c r="BA50" i="6"/>
  <c r="BA39" i="6"/>
  <c r="BA58" i="6"/>
  <c r="BA57" i="6"/>
  <c r="BA16" i="6"/>
  <c r="BA13" i="6"/>
  <c r="AZ44" i="6"/>
  <c r="BA63" i="6"/>
  <c r="BA51" i="6"/>
  <c r="BA38" i="6"/>
  <c r="BA19" i="6"/>
  <c r="BA67" i="6"/>
  <c r="BA15" i="6"/>
  <c r="BA12" i="6"/>
  <c r="BA61" i="6"/>
  <c r="BA48" i="6"/>
  <c r="AZ35" i="6"/>
  <c r="AZ28" i="6"/>
  <c r="BA34" i="6"/>
  <c r="BA23" i="6"/>
  <c r="BA7" i="6"/>
  <c r="O29" i="6"/>
  <c r="P29" i="6" s="1"/>
  <c r="P28" i="6"/>
  <c r="AJ24" i="6"/>
  <c r="AW8" i="6"/>
  <c r="AW12" i="6"/>
  <c r="AW9" i="6"/>
  <c r="AW13" i="6"/>
  <c r="AW14" i="6"/>
  <c r="AW23" i="6"/>
  <c r="AW15" i="6"/>
  <c r="AW50" i="6"/>
  <c r="AW39" i="6"/>
  <c r="AW53" i="6"/>
  <c r="AW36" i="6"/>
  <c r="AW48" i="6"/>
  <c r="AW49" i="6"/>
  <c r="AW46" i="6"/>
  <c r="AW16" i="6"/>
  <c r="AW63" i="6"/>
  <c r="AW59" i="6"/>
  <c r="AW45" i="6"/>
  <c r="AW64" i="6"/>
  <c r="AW61" i="6"/>
  <c r="AV35" i="6"/>
  <c r="AW41" i="6"/>
  <c r="AW62" i="6"/>
  <c r="AW67" i="6"/>
  <c r="AV28" i="6"/>
  <c r="AW38" i="6"/>
  <c r="AW60" i="6"/>
  <c r="AW57" i="6"/>
  <c r="AW51" i="6"/>
  <c r="AW33" i="6"/>
  <c r="AW40" i="6"/>
  <c r="AW30" i="6"/>
  <c r="AW19" i="6"/>
  <c r="AW34" i="6"/>
  <c r="AW52" i="6"/>
  <c r="AW37" i="6"/>
  <c r="AW58" i="6"/>
  <c r="AV44" i="6"/>
  <c r="AW7" i="6"/>
  <c r="AH24" i="6"/>
  <c r="H45" i="7"/>
  <c r="AO51" i="6"/>
  <c r="AO45" i="6"/>
  <c r="AO33" i="6"/>
  <c r="AO23" i="6"/>
  <c r="AO49" i="6"/>
  <c r="AO41" i="6"/>
  <c r="AO58" i="6"/>
  <c r="AO36" i="6"/>
  <c r="AO63" i="6"/>
  <c r="AO64" i="6"/>
  <c r="AO40" i="6"/>
  <c r="AO39" i="6"/>
  <c r="AO16" i="6"/>
  <c r="AO61" i="6"/>
  <c r="AO62" i="6"/>
  <c r="AO34" i="6"/>
  <c r="AN35" i="6"/>
  <c r="AO14" i="6"/>
  <c r="AO67" i="6"/>
  <c r="AO60" i="6"/>
  <c r="AN28" i="6"/>
  <c r="AO30" i="6"/>
  <c r="AO9" i="6"/>
  <c r="AO59" i="6"/>
  <c r="AO52" i="6"/>
  <c r="AN44" i="6"/>
  <c r="AO38" i="6"/>
  <c r="AO15" i="6"/>
  <c r="AO57" i="6"/>
  <c r="AO37" i="6"/>
  <c r="AO50" i="6"/>
  <c r="AO19" i="6"/>
  <c r="AO8" i="6"/>
  <c r="AO53" i="6"/>
  <c r="AO48" i="6"/>
  <c r="AO46" i="6"/>
  <c r="AO12" i="6"/>
  <c r="AO13" i="6"/>
  <c r="AO7" i="6"/>
  <c r="T44" i="6"/>
  <c r="S54" i="6"/>
  <c r="T54" i="6" s="1"/>
  <c r="L10" i="7"/>
  <c r="AA33" i="6"/>
  <c r="AA63" i="6"/>
  <c r="AA56" i="6"/>
  <c r="AA48" i="6"/>
  <c r="W54" i="6"/>
  <c r="X54" i="6" s="1"/>
  <c r="X44" i="6"/>
  <c r="M29" i="6"/>
  <c r="N29" i="6" s="1"/>
  <c r="N28" i="6"/>
  <c r="AJ12" i="6"/>
  <c r="AJ14" i="6"/>
  <c r="AJ15" i="6"/>
  <c r="AJ23" i="6"/>
  <c r="AJ48" i="6"/>
  <c r="AJ53" i="6"/>
  <c r="AJ19" i="6"/>
  <c r="AJ8" i="6"/>
  <c r="AJ46" i="6"/>
  <c r="AJ52" i="6"/>
  <c r="AJ45" i="6"/>
  <c r="AJ38" i="6"/>
  <c r="AJ9" i="6"/>
  <c r="AJ50" i="6"/>
  <c r="AJ41" i="6"/>
  <c r="AJ33" i="6"/>
  <c r="AJ40" i="6"/>
  <c r="AJ16" i="6"/>
  <c r="AJ63" i="6"/>
  <c r="AJ39" i="6"/>
  <c r="AJ30" i="6"/>
  <c r="AJ34" i="6"/>
  <c r="AJ13" i="6"/>
  <c r="AJ61" i="6"/>
  <c r="AJ64" i="6"/>
  <c r="AJ59" i="6"/>
  <c r="AJ60" i="6"/>
  <c r="AJ67" i="6"/>
  <c r="AJ49" i="6"/>
  <c r="AJ37" i="6"/>
  <c r="AI28" i="6"/>
  <c r="AJ47" i="6"/>
  <c r="AX47" i="6" s="1"/>
  <c r="AY47" i="6" s="1"/>
  <c r="AJ51" i="6"/>
  <c r="AI44" i="6"/>
  <c r="AI35" i="6"/>
  <c r="AJ36" i="6"/>
  <c r="AJ57" i="6"/>
  <c r="AJ58" i="6"/>
  <c r="AJ62" i="6"/>
  <c r="AJ7" i="6"/>
  <c r="I29" i="6"/>
  <c r="J29" i="6" s="1"/>
  <c r="J28" i="6"/>
  <c r="AJ22" i="6"/>
  <c r="V44" i="6"/>
  <c r="U54" i="6"/>
  <c r="V54" i="6" s="1"/>
  <c r="AF28" i="6"/>
  <c r="AE29" i="6"/>
  <c r="AF29" i="6" s="1"/>
  <c r="AW22" i="6"/>
  <c r="AH22" i="6"/>
  <c r="D35" i="1"/>
  <c r="F35" i="1" s="1"/>
  <c r="G35" i="1" s="1"/>
  <c r="D35" i="7"/>
  <c r="F35" i="7" s="1"/>
  <c r="F44" i="6"/>
  <c r="E54" i="6"/>
  <c r="F54" i="6" s="1"/>
  <c r="T35" i="6"/>
  <c r="S42" i="6"/>
  <c r="T42" i="6" s="1"/>
  <c r="AA23" i="6"/>
  <c r="AA52" i="6"/>
  <c r="AA34" i="6"/>
  <c r="AA61" i="6"/>
  <c r="AA64" i="6"/>
  <c r="AY13" i="6"/>
  <c r="AY12" i="6"/>
  <c r="AY23" i="6"/>
  <c r="AY14" i="6"/>
  <c r="AY58" i="6"/>
  <c r="AY53" i="6"/>
  <c r="AY52" i="6"/>
  <c r="AX44" i="6"/>
  <c r="AY9" i="6"/>
  <c r="AY45" i="6"/>
  <c r="AY38" i="6"/>
  <c r="AY16" i="6"/>
  <c r="AY63" i="6"/>
  <c r="AY33" i="6"/>
  <c r="AY67" i="6"/>
  <c r="AY41" i="6"/>
  <c r="AY30" i="6"/>
  <c r="AY34" i="6"/>
  <c r="AY64" i="6"/>
  <c r="AY39" i="6"/>
  <c r="AY51" i="6"/>
  <c r="AY19" i="6"/>
  <c r="AY15" i="6"/>
  <c r="AY60" i="6"/>
  <c r="AY37" i="6"/>
  <c r="AY48" i="6"/>
  <c r="AX35" i="6"/>
  <c r="AY59" i="6"/>
  <c r="AY50" i="6"/>
  <c r="AY40" i="6"/>
  <c r="AY46" i="6"/>
  <c r="AX28" i="6"/>
  <c r="AY62" i="6"/>
  <c r="AY61" i="6"/>
  <c r="AY49" i="6"/>
  <c r="AY57" i="6"/>
  <c r="AY8" i="6"/>
  <c r="AY36" i="6"/>
  <c r="AY7" i="6"/>
  <c r="Y54" i="6"/>
  <c r="Z54" i="6" s="1"/>
  <c r="Z44" i="6"/>
  <c r="AL56" i="6"/>
  <c r="AL22" i="6"/>
  <c r="H23" i="7"/>
  <c r="AE42" i="6"/>
  <c r="AF42" i="6" s="1"/>
  <c r="AF35" i="6"/>
  <c r="AS15" i="6"/>
  <c r="AS12" i="6"/>
  <c r="AS13" i="6"/>
  <c r="AS14" i="6"/>
  <c r="AS23" i="6"/>
  <c r="AS53" i="6"/>
  <c r="AS40" i="6"/>
  <c r="AS59" i="6"/>
  <c r="AS37" i="6"/>
  <c r="AS16" i="6"/>
  <c r="AS51" i="6"/>
  <c r="AS38" i="6"/>
  <c r="AS34" i="6"/>
  <c r="AS30" i="6"/>
  <c r="AS49" i="6"/>
  <c r="AS67" i="6"/>
  <c r="AS61" i="6"/>
  <c r="AS19" i="6"/>
  <c r="AS64" i="6"/>
  <c r="AS50" i="6"/>
  <c r="AR35" i="6"/>
  <c r="AR28" i="6"/>
  <c r="AS62" i="6"/>
  <c r="AR44" i="6"/>
  <c r="AS63" i="6"/>
  <c r="AS36" i="6"/>
  <c r="AS60" i="6"/>
  <c r="AS48" i="6"/>
  <c r="AS58" i="6"/>
  <c r="AS8" i="6"/>
  <c r="AS52" i="6"/>
  <c r="AS45" i="6"/>
  <c r="AS33" i="6"/>
  <c r="AS57" i="6"/>
  <c r="AS46" i="6"/>
  <c r="AS41" i="6"/>
  <c r="AS39" i="6"/>
  <c r="AS9" i="6"/>
  <c r="AS7" i="6"/>
  <c r="AW24" i="6"/>
  <c r="AQ16" i="6"/>
  <c r="AQ12" i="6"/>
  <c r="AQ53" i="6"/>
  <c r="AQ38" i="6"/>
  <c r="AQ63" i="6"/>
  <c r="AP28" i="6"/>
  <c r="AQ13" i="6"/>
  <c r="AQ64" i="6"/>
  <c r="AQ37" i="6"/>
  <c r="AQ58" i="6"/>
  <c r="AP44" i="6"/>
  <c r="AQ62" i="6"/>
  <c r="AQ51" i="6"/>
  <c r="AQ50" i="6"/>
  <c r="AQ19" i="6"/>
  <c r="AQ14" i="6"/>
  <c r="AQ23" i="6"/>
  <c r="AQ49" i="6"/>
  <c r="AQ48" i="6"/>
  <c r="AQ36" i="6"/>
  <c r="AQ60" i="6"/>
  <c r="AQ45" i="6"/>
  <c r="AQ33" i="6"/>
  <c r="AQ8" i="6"/>
  <c r="AQ67" i="6"/>
  <c r="AQ52" i="6"/>
  <c r="AQ41" i="6"/>
  <c r="AP35" i="6"/>
  <c r="AQ9" i="6"/>
  <c r="AQ59" i="6"/>
  <c r="AQ46" i="6"/>
  <c r="AQ34" i="6"/>
  <c r="AQ39" i="6"/>
  <c r="AQ57" i="6"/>
  <c r="AQ40" i="6"/>
  <c r="AQ61" i="6"/>
  <c r="AQ30" i="6"/>
  <c r="AQ15" i="6"/>
  <c r="AQ7" i="6"/>
  <c r="D28" i="1"/>
  <c r="F28" i="1" s="1"/>
  <c r="H28" i="1" s="1"/>
  <c r="D28" i="7"/>
  <c r="F28" i="7" s="1"/>
  <c r="D44" i="1"/>
  <c r="F44" i="1" s="1"/>
  <c r="H44" i="1" s="1"/>
  <c r="D44" i="7"/>
  <c r="F44" i="7" s="1"/>
  <c r="AK31" i="2"/>
  <c r="AL31" i="2" s="1"/>
  <c r="AA58" i="6"/>
  <c r="C29" i="6"/>
  <c r="D29" i="6" s="1"/>
  <c r="D28" i="6"/>
  <c r="AA51" i="6"/>
  <c r="AA59" i="6"/>
  <c r="G29" i="6"/>
  <c r="H29" i="6" s="1"/>
  <c r="H28" i="6"/>
  <c r="H58" i="7"/>
  <c r="W29" i="6"/>
  <c r="X29" i="6" s="1"/>
  <c r="X28" i="6"/>
  <c r="AD22" i="6"/>
  <c r="M54" i="6"/>
  <c r="N54" i="6" s="1"/>
  <c r="N44" i="6"/>
  <c r="AL65" i="6"/>
  <c r="Q29" i="6"/>
  <c r="R29" i="6" s="1"/>
  <c r="R28" i="6"/>
  <c r="AL24" i="6"/>
  <c r="AH56" i="6"/>
  <c r="AU8" i="6"/>
  <c r="AU16" i="6"/>
  <c r="AU15" i="6"/>
  <c r="AU64" i="6"/>
  <c r="AU67" i="6"/>
  <c r="AU34" i="6"/>
  <c r="AU30" i="6"/>
  <c r="AU14" i="6"/>
  <c r="AU62" i="6"/>
  <c r="AU57" i="6"/>
  <c r="AU39" i="6"/>
  <c r="AT28" i="6"/>
  <c r="AU60" i="6"/>
  <c r="AU50" i="6"/>
  <c r="AU52" i="6"/>
  <c r="AU53" i="6"/>
  <c r="AU58" i="6"/>
  <c r="AU63" i="6"/>
  <c r="AU33" i="6"/>
  <c r="AU45" i="6"/>
  <c r="AU13" i="6"/>
  <c r="AU46" i="6"/>
  <c r="AU61" i="6"/>
  <c r="AU49" i="6"/>
  <c r="AU41" i="6"/>
  <c r="AU23" i="6"/>
  <c r="AT44" i="6"/>
  <c r="AU59" i="6"/>
  <c r="AU19" i="6"/>
  <c r="AU12" i="6"/>
  <c r="AU40" i="6"/>
  <c r="AU51" i="6"/>
  <c r="AU48" i="6"/>
  <c r="AU9" i="6"/>
  <c r="AU38" i="6"/>
  <c r="AT35" i="6"/>
  <c r="AU37" i="6"/>
  <c r="AU36" i="6"/>
  <c r="AU7" i="6"/>
  <c r="AO22" i="6"/>
  <c r="AU24" i="6"/>
  <c r="L28" i="6"/>
  <c r="K29" i="6"/>
  <c r="L29" i="6" s="1"/>
  <c r="AC70" i="2"/>
  <c r="AD70" i="2" s="1"/>
  <c r="AD31" i="2"/>
  <c r="BC16" i="2"/>
  <c r="AI31" i="2"/>
  <c r="AI70" i="2" s="1"/>
  <c r="AJ70" i="2" s="1"/>
  <c r="AG68" i="2"/>
  <c r="AH68" i="2" s="1"/>
  <c r="AH31" i="2"/>
  <c r="H35" i="1"/>
  <c r="G16" i="1"/>
  <c r="J56" i="1"/>
  <c r="G65" i="1"/>
  <c r="AP31" i="2"/>
  <c r="AQ31" i="2" s="1"/>
  <c r="J18" i="1"/>
  <c r="H19" i="1"/>
  <c r="I18" i="1" s="1"/>
  <c r="G24" i="1"/>
  <c r="J24" i="1"/>
  <c r="J45" i="1"/>
  <c r="G64" i="1"/>
  <c r="G63" i="1"/>
  <c r="G39" i="1"/>
  <c r="G53" i="1"/>
  <c r="G19" i="1"/>
  <c r="G62" i="1"/>
  <c r="G60" i="1"/>
  <c r="G38" i="1"/>
  <c r="G48" i="1"/>
  <c r="G67" i="1"/>
  <c r="G40" i="1"/>
  <c r="G46" i="1"/>
  <c r="G57" i="1"/>
  <c r="G34" i="1"/>
  <c r="G50" i="1"/>
  <c r="G41" i="1"/>
  <c r="G36" i="1"/>
  <c r="G8" i="1"/>
  <c r="G7" i="1"/>
  <c r="G15" i="1"/>
  <c r="G12" i="1"/>
  <c r="G9" i="1"/>
  <c r="G13" i="1"/>
  <c r="G23" i="1"/>
  <c r="G22" i="1"/>
  <c r="J30" i="1"/>
  <c r="J23" i="1"/>
  <c r="J22" i="1"/>
  <c r="BB35" i="2"/>
  <c r="BC35" i="2" s="1"/>
  <c r="BC8" i="2"/>
  <c r="AZ31" i="2"/>
  <c r="BA31" i="2" s="1"/>
  <c r="S68" i="2"/>
  <c r="T68" i="2" s="1"/>
  <c r="T31" i="2"/>
  <c r="AE31" i="2"/>
  <c r="AE68" i="2" s="1"/>
  <c r="AF68" i="2" s="1"/>
  <c r="BB28" i="2"/>
  <c r="AN68" i="2"/>
  <c r="AO68" i="2" s="1"/>
  <c r="BC64" i="2"/>
  <c r="BC63" i="2"/>
  <c r="BC19" i="2"/>
  <c r="BC50" i="2"/>
  <c r="BC61" i="2"/>
  <c r="BC36" i="2"/>
  <c r="BC22" i="2"/>
  <c r="BC15" i="2"/>
  <c r="BC13" i="2"/>
  <c r="BC60" i="2"/>
  <c r="BC58" i="2"/>
  <c r="AT68" i="2"/>
  <c r="AU68" i="2" s="1"/>
  <c r="BB44" i="2"/>
  <c r="BC44" i="2" s="1"/>
  <c r="BC34" i="2"/>
  <c r="BC39" i="2"/>
  <c r="BC9" i="2"/>
  <c r="BC46" i="2"/>
  <c r="BC40" i="2"/>
  <c r="BC62" i="2"/>
  <c r="BC45" i="2"/>
  <c r="BC49" i="2"/>
  <c r="BC48" i="2"/>
  <c r="BC41" i="2"/>
  <c r="BC10" i="2"/>
  <c r="BC30" i="2"/>
  <c r="BC12" i="2"/>
  <c r="BC23" i="2"/>
  <c r="BC51" i="2"/>
  <c r="BC59" i="2"/>
  <c r="BC37" i="2"/>
  <c r="AU54" i="2"/>
  <c r="BC7" i="2"/>
  <c r="BC33" i="2"/>
  <c r="BC65" i="2"/>
  <c r="BC14" i="2"/>
  <c r="BC57" i="2"/>
  <c r="BC56" i="2"/>
  <c r="BC52" i="2"/>
  <c r="AT70" i="2"/>
  <c r="AU70" i="2" s="1"/>
  <c r="BB42" i="2"/>
  <c r="BC67" i="2"/>
  <c r="BC38" i="2"/>
  <c r="BC53" i="2"/>
  <c r="BC24" i="2"/>
  <c r="AN70" i="2"/>
  <c r="AO70" i="2" s="1"/>
  <c r="AO31" i="2"/>
  <c r="AW29" i="2"/>
  <c r="BB29" i="2" s="1"/>
  <c r="BC29" i="2" s="1"/>
  <c r="AV31" i="2"/>
  <c r="AX68" i="2"/>
  <c r="AY68" i="2" s="1"/>
  <c r="AX70" i="2"/>
  <c r="AY70" i="2" s="1"/>
  <c r="AS31" i="2"/>
  <c r="AR70" i="2"/>
  <c r="AS70" i="2" s="1"/>
  <c r="AR68" i="2"/>
  <c r="AS68" i="2" s="1"/>
  <c r="G70" i="2"/>
  <c r="H70" i="2" s="1"/>
  <c r="F31" i="2"/>
  <c r="E70" i="2"/>
  <c r="F70" i="2" s="1"/>
  <c r="G68" i="2"/>
  <c r="H68" i="2" s="1"/>
  <c r="J31" i="2"/>
  <c r="I70" i="2"/>
  <c r="J70" i="2" s="1"/>
  <c r="U70" i="2"/>
  <c r="V70" i="2" s="1"/>
  <c r="U68" i="2"/>
  <c r="V68" i="2" s="1"/>
  <c r="V31" i="2"/>
  <c r="W70" i="2"/>
  <c r="X70" i="2" s="1"/>
  <c r="X31" i="2"/>
  <c r="W68" i="2"/>
  <c r="X68" i="2" s="1"/>
  <c r="D31" i="2"/>
  <c r="C68" i="2"/>
  <c r="D68" i="2" s="1"/>
  <c r="C70" i="2"/>
  <c r="D70" i="2" s="1"/>
  <c r="R31" i="2"/>
  <c r="Q68" i="2"/>
  <c r="R68" i="2" s="1"/>
  <c r="Q70" i="2"/>
  <c r="R70" i="2" s="1"/>
  <c r="K68" i="2"/>
  <c r="L68" i="2" s="1"/>
  <c r="L31" i="2"/>
  <c r="K70" i="2"/>
  <c r="L70" i="2" s="1"/>
  <c r="Y68" i="2"/>
  <c r="Z68" i="2" s="1"/>
  <c r="Y70" i="2"/>
  <c r="Z70" i="2" s="1"/>
  <c r="Z31" i="2"/>
  <c r="AA10" i="2"/>
  <c r="D10" i="7" s="1"/>
  <c r="G10" i="1" l="1"/>
  <c r="G59" i="1"/>
  <c r="G51" i="1"/>
  <c r="G47" i="1"/>
  <c r="G28" i="1"/>
  <c r="G14" i="1"/>
  <c r="G52" i="1"/>
  <c r="G33" i="1"/>
  <c r="G49" i="1"/>
  <c r="G58" i="1"/>
  <c r="G56" i="1"/>
  <c r="J58" i="1"/>
  <c r="F42" i="1"/>
  <c r="G42" i="1" s="1"/>
  <c r="AK68" i="2"/>
  <c r="AL68" i="2" s="1"/>
  <c r="AK70" i="2"/>
  <c r="AL70" i="2" s="1"/>
  <c r="G37" i="1"/>
  <c r="G61" i="1"/>
  <c r="G45" i="1"/>
  <c r="G18" i="1"/>
  <c r="G29" i="1"/>
  <c r="F31" i="1"/>
  <c r="G31" i="1" s="1"/>
  <c r="W31" i="6"/>
  <c r="W68" i="6" s="1"/>
  <c r="X68" i="6" s="1"/>
  <c r="C31" i="6"/>
  <c r="C70" i="6" s="1"/>
  <c r="D70" i="6" s="1"/>
  <c r="AE31" i="6"/>
  <c r="AE68" i="6" s="1"/>
  <c r="AF68" i="6" s="1"/>
  <c r="O31" i="6"/>
  <c r="P31" i="6" s="1"/>
  <c r="Q31" i="6"/>
  <c r="R31" i="6" s="1"/>
  <c r="BB24" i="6"/>
  <c r="F54" i="1"/>
  <c r="G54" i="1" s="1"/>
  <c r="G31" i="6"/>
  <c r="H31" i="6" s="1"/>
  <c r="BB22" i="6"/>
  <c r="AA35" i="6"/>
  <c r="AA42" i="6" s="1"/>
  <c r="BB10" i="6"/>
  <c r="AQ44" i="6"/>
  <c r="AN42" i="6"/>
  <c r="AO42" i="6" s="1"/>
  <c r="AO35" i="6"/>
  <c r="F19" i="7"/>
  <c r="G65" i="7" s="1"/>
  <c r="J30" i="7"/>
  <c r="AK54" i="6"/>
  <c r="AL54" i="6" s="1"/>
  <c r="AL44" i="6"/>
  <c r="BB63" i="6"/>
  <c r="BB34" i="6"/>
  <c r="BB52" i="6"/>
  <c r="BB48" i="6"/>
  <c r="AC29" i="6"/>
  <c r="AC31" i="6" s="1"/>
  <c r="AD28" i="6"/>
  <c r="Q70" i="6"/>
  <c r="R70" i="6" s="1"/>
  <c r="F31" i="7"/>
  <c r="H28" i="7"/>
  <c r="AY35" i="6"/>
  <c r="AX42" i="6"/>
  <c r="AY42" i="6" s="1"/>
  <c r="AI42" i="6"/>
  <c r="AJ42" i="6" s="1"/>
  <c r="AJ35" i="6"/>
  <c r="BB19" i="6"/>
  <c r="BC19" i="6" s="1"/>
  <c r="J18" i="7"/>
  <c r="H19" i="7"/>
  <c r="I18" i="7" s="1"/>
  <c r="J22" i="7"/>
  <c r="BB50" i="6"/>
  <c r="BB58" i="6"/>
  <c r="BB51" i="6"/>
  <c r="BB61" i="6"/>
  <c r="BB57" i="6"/>
  <c r="K31" i="6"/>
  <c r="AA28" i="6"/>
  <c r="I31" i="6"/>
  <c r="AI54" i="6"/>
  <c r="AJ54" i="6" s="1"/>
  <c r="AJ44" i="6"/>
  <c r="AA65" i="6"/>
  <c r="J45" i="7"/>
  <c r="U31" i="6"/>
  <c r="S31" i="6"/>
  <c r="AH44" i="6"/>
  <c r="AG54" i="6"/>
  <c r="AH54" i="6" s="1"/>
  <c r="BB7" i="6"/>
  <c r="BB46" i="6"/>
  <c r="BB23" i="6"/>
  <c r="BB8" i="6"/>
  <c r="BB59" i="6"/>
  <c r="BB40" i="6"/>
  <c r="AT42" i="6"/>
  <c r="AU42" i="6" s="1"/>
  <c r="AU35" i="6"/>
  <c r="AU28" i="6"/>
  <c r="AT29" i="6"/>
  <c r="AU29" i="6" s="1"/>
  <c r="AV29" i="6"/>
  <c r="AW29" i="6" s="1"/>
  <c r="AW28" i="6"/>
  <c r="AG42" i="6"/>
  <c r="AH42" i="6" s="1"/>
  <c r="AH35" i="6"/>
  <c r="BB38" i="6"/>
  <c r="AR47" i="6"/>
  <c r="AS47" i="6" s="1"/>
  <c r="BB49" i="6"/>
  <c r="BB64" i="6"/>
  <c r="AU44" i="6"/>
  <c r="AT54" i="6"/>
  <c r="AU54" i="6" s="1"/>
  <c r="J58" i="7"/>
  <c r="AA29" i="6"/>
  <c r="AS44" i="6"/>
  <c r="AX29" i="6"/>
  <c r="AY29" i="6" s="1"/>
  <c r="AY28" i="6"/>
  <c r="AX54" i="6"/>
  <c r="AY54" i="6" s="1"/>
  <c r="AY44" i="6"/>
  <c r="M31" i="6"/>
  <c r="AO28" i="6"/>
  <c r="AN29" i="6"/>
  <c r="AO29" i="6" s="1"/>
  <c r="BA28" i="6"/>
  <c r="AZ29" i="6"/>
  <c r="BA29" i="6" s="1"/>
  <c r="E31" i="6"/>
  <c r="H65" i="7"/>
  <c r="J56" i="7"/>
  <c r="AG29" i="6"/>
  <c r="AH29" i="6" s="1"/>
  <c r="AH28" i="6"/>
  <c r="AC54" i="6"/>
  <c r="AD44" i="6"/>
  <c r="BB45" i="6"/>
  <c r="BB37" i="6"/>
  <c r="BB41" i="6"/>
  <c r="BB67" i="6"/>
  <c r="Y31" i="6"/>
  <c r="AP29" i="6"/>
  <c r="AQ29" i="6" s="1"/>
  <c r="AQ28" i="6"/>
  <c r="AA44" i="6"/>
  <c r="AI29" i="6"/>
  <c r="AJ29" i="6" s="1"/>
  <c r="AJ28" i="6"/>
  <c r="BA35" i="6"/>
  <c r="AZ42" i="6"/>
  <c r="BA42" i="6" s="1"/>
  <c r="H29" i="7"/>
  <c r="BB56" i="6"/>
  <c r="BB14" i="6"/>
  <c r="BB15" i="6"/>
  <c r="BB30" i="6"/>
  <c r="BC30" i="6" s="1"/>
  <c r="BB53" i="6"/>
  <c r="BB16" i="6"/>
  <c r="G44" i="1"/>
  <c r="AS28" i="6"/>
  <c r="AR29" i="6"/>
  <c r="AS29" i="6" s="1"/>
  <c r="H35" i="7"/>
  <c r="F42" i="7"/>
  <c r="AV54" i="6"/>
  <c r="AW54" i="6" s="1"/>
  <c r="AW44" i="6"/>
  <c r="AA19" i="6"/>
  <c r="AB30" i="6" s="1"/>
  <c r="BB65" i="6"/>
  <c r="BB9" i="6"/>
  <c r="BB33" i="6"/>
  <c r="AC42" i="6"/>
  <c r="AD42" i="6" s="1"/>
  <c r="AD35" i="6"/>
  <c r="BB62" i="6"/>
  <c r="BB13" i="6"/>
  <c r="H44" i="7"/>
  <c r="F54" i="7"/>
  <c r="AP42" i="6"/>
  <c r="AQ42" i="6" s="1"/>
  <c r="AQ35" i="6"/>
  <c r="AR42" i="6"/>
  <c r="AS42" i="6" s="1"/>
  <c r="AS35" i="6"/>
  <c r="J23" i="7"/>
  <c r="AN54" i="6"/>
  <c r="AO54" i="6" s="1"/>
  <c r="AO44" i="6"/>
  <c r="AV42" i="6"/>
  <c r="AW42" i="6" s="1"/>
  <c r="AW35" i="6"/>
  <c r="BA44" i="6"/>
  <c r="AZ54" i="6"/>
  <c r="BA54" i="6" s="1"/>
  <c r="AK42" i="6"/>
  <c r="AL42" i="6" s="1"/>
  <c r="AL35" i="6"/>
  <c r="AK29" i="6"/>
  <c r="AL29" i="6" s="1"/>
  <c r="AL28" i="6"/>
  <c r="J24" i="7"/>
  <c r="BB39" i="6"/>
  <c r="BB60" i="6"/>
  <c r="BB12" i="6"/>
  <c r="BB36" i="6"/>
  <c r="BC36" i="6" s="1"/>
  <c r="AJ31" i="2"/>
  <c r="AI68" i="2"/>
  <c r="AJ68" i="2" s="1"/>
  <c r="I23" i="1"/>
  <c r="I30" i="1"/>
  <c r="I45" i="1"/>
  <c r="I22" i="1"/>
  <c r="AZ70" i="2"/>
  <c r="BA70" i="2" s="1"/>
  <c r="AZ68" i="2"/>
  <c r="BA68" i="2" s="1"/>
  <c r="I24" i="1"/>
  <c r="I58" i="1"/>
  <c r="D10" i="1"/>
  <c r="AA19" i="2"/>
  <c r="L23" i="1"/>
  <c r="H31" i="1"/>
  <c r="I31" i="1" s="1"/>
  <c r="J29" i="1"/>
  <c r="I29" i="1"/>
  <c r="J28" i="1"/>
  <c r="I28" i="1"/>
  <c r="L30" i="1"/>
  <c r="L58" i="1"/>
  <c r="I19" i="1"/>
  <c r="I64" i="1"/>
  <c r="I37" i="1"/>
  <c r="I52" i="1"/>
  <c r="I60" i="1"/>
  <c r="I62" i="1"/>
  <c r="I67" i="1"/>
  <c r="I57" i="1"/>
  <c r="I47" i="1"/>
  <c r="I51" i="1"/>
  <c r="I41" i="1"/>
  <c r="I61" i="1"/>
  <c r="I33" i="1"/>
  <c r="I48" i="1"/>
  <c r="I38" i="1"/>
  <c r="I34" i="1"/>
  <c r="I53" i="1"/>
  <c r="I59" i="1"/>
  <c r="I49" i="1"/>
  <c r="I39" i="1"/>
  <c r="I36" i="1"/>
  <c r="I50" i="1"/>
  <c r="I40" i="1"/>
  <c r="I63" i="1"/>
  <c r="I46" i="1"/>
  <c r="I8" i="1"/>
  <c r="I7" i="1"/>
  <c r="I14" i="1"/>
  <c r="I13" i="1"/>
  <c r="I9" i="1"/>
  <c r="I12" i="1"/>
  <c r="I10" i="1"/>
  <c r="I15" i="1"/>
  <c r="I16" i="1"/>
  <c r="I56" i="1"/>
  <c r="L45" i="1"/>
  <c r="L18" i="1"/>
  <c r="J19" i="1"/>
  <c r="K45" i="1" s="1"/>
  <c r="L56" i="1"/>
  <c r="J65" i="1"/>
  <c r="I65" i="1"/>
  <c r="H54" i="1"/>
  <c r="I54" i="1" s="1"/>
  <c r="J44" i="1"/>
  <c r="I44" i="1"/>
  <c r="L22" i="1"/>
  <c r="L24" i="1"/>
  <c r="J35" i="1"/>
  <c r="H42" i="1"/>
  <c r="I42" i="1" s="1"/>
  <c r="I35" i="1"/>
  <c r="AF31" i="2"/>
  <c r="AE70" i="2"/>
  <c r="AF70" i="2" s="1"/>
  <c r="BC28" i="2"/>
  <c r="BC42" i="2"/>
  <c r="AW31" i="2"/>
  <c r="AV68" i="2"/>
  <c r="AW68" i="2" s="1"/>
  <c r="AV70" i="2"/>
  <c r="AW70" i="2" s="1"/>
  <c r="AA42" i="2"/>
  <c r="D42" i="7" s="1"/>
  <c r="AA31" i="2"/>
  <c r="AA65" i="2"/>
  <c r="AA54" i="2"/>
  <c r="O70" i="6" l="1"/>
  <c r="P70" i="6" s="1"/>
  <c r="O68" i="6"/>
  <c r="P68" i="6" s="1"/>
  <c r="BC14" i="6"/>
  <c r="BC33" i="6"/>
  <c r="F68" i="1"/>
  <c r="F70" i="1" s="1"/>
  <c r="BC9" i="6"/>
  <c r="BC65" i="6"/>
  <c r="BC56" i="6"/>
  <c r="BC38" i="6"/>
  <c r="W70" i="6"/>
  <c r="X70" i="6" s="1"/>
  <c r="BC41" i="6"/>
  <c r="AE70" i="6"/>
  <c r="AF70" i="6" s="1"/>
  <c r="G68" i="6"/>
  <c r="H68" i="6" s="1"/>
  <c r="X31" i="6"/>
  <c r="Q68" i="6"/>
  <c r="R68" i="6" s="1"/>
  <c r="AR54" i="6"/>
  <c r="AS54" i="6" s="1"/>
  <c r="I23" i="7"/>
  <c r="BC15" i="6"/>
  <c r="BC67" i="6"/>
  <c r="I58" i="7"/>
  <c r="C68" i="6"/>
  <c r="D68" i="6" s="1"/>
  <c r="AF31" i="6"/>
  <c r="D31" i="6"/>
  <c r="G44" i="7"/>
  <c r="G54" i="7"/>
  <c r="G35" i="7"/>
  <c r="I24" i="7"/>
  <c r="I56" i="7"/>
  <c r="AR31" i="6"/>
  <c r="AT31" i="6"/>
  <c r="AU31" i="6" s="1"/>
  <c r="BC23" i="6"/>
  <c r="BC37" i="6"/>
  <c r="BC7" i="6"/>
  <c r="BC61" i="6"/>
  <c r="BC12" i="6"/>
  <c r="BC45" i="6"/>
  <c r="BC60" i="6"/>
  <c r="BC62" i="6"/>
  <c r="BC16" i="6"/>
  <c r="BC39" i="6"/>
  <c r="BC53" i="6"/>
  <c r="G70" i="6"/>
  <c r="H70" i="6" s="1"/>
  <c r="BC64" i="6"/>
  <c r="BC40" i="6"/>
  <c r="AN31" i="6"/>
  <c r="AO31" i="6" s="1"/>
  <c r="AV31" i="6"/>
  <c r="AW31" i="6" s="1"/>
  <c r="G42" i="7"/>
  <c r="BC51" i="6"/>
  <c r="AB33" i="6"/>
  <c r="BC49" i="6"/>
  <c r="BC58" i="6"/>
  <c r="BB28" i="6"/>
  <c r="BC28" i="6" s="1"/>
  <c r="AB58" i="6"/>
  <c r="AB42" i="6"/>
  <c r="BC50" i="6"/>
  <c r="BC59" i="6"/>
  <c r="BC8" i="6"/>
  <c r="G16" i="7"/>
  <c r="AG31" i="6"/>
  <c r="AG68" i="6" s="1"/>
  <c r="AH68" i="6" s="1"/>
  <c r="BC52" i="6"/>
  <c r="AB49" i="6"/>
  <c r="BC13" i="6"/>
  <c r="AB24" i="6"/>
  <c r="BC46" i="6"/>
  <c r="BC57" i="6"/>
  <c r="BC34" i="6"/>
  <c r="AB57" i="6"/>
  <c r="AB50" i="6"/>
  <c r="BC63" i="6"/>
  <c r="AK31" i="6"/>
  <c r="BB42" i="6"/>
  <c r="BC42" i="6" s="1"/>
  <c r="J29" i="7"/>
  <c r="I29" i="7"/>
  <c r="AI31" i="6"/>
  <c r="L56" i="7"/>
  <c r="J65" i="7"/>
  <c r="AN68" i="6"/>
  <c r="AO68" i="6" s="1"/>
  <c r="AB65" i="6"/>
  <c r="L31" i="6"/>
  <c r="K68" i="6"/>
  <c r="L68" i="6" s="1"/>
  <c r="K70" i="6"/>
  <c r="L70" i="6" s="1"/>
  <c r="AB38" i="6"/>
  <c r="AB48" i="6"/>
  <c r="AB51" i="6"/>
  <c r="G67" i="7"/>
  <c r="G64" i="7"/>
  <c r="G59" i="7"/>
  <c r="G15" i="7"/>
  <c r="G53" i="7"/>
  <c r="G62" i="7"/>
  <c r="G51" i="7"/>
  <c r="G36" i="7"/>
  <c r="G13" i="7"/>
  <c r="G34" i="7"/>
  <c r="G47" i="7"/>
  <c r="G50" i="7"/>
  <c r="G19" i="7"/>
  <c r="G38" i="7"/>
  <c r="G61" i="7"/>
  <c r="G40" i="7"/>
  <c r="G52" i="7"/>
  <c r="G60" i="7"/>
  <c r="G9" i="7"/>
  <c r="G14" i="7"/>
  <c r="G8" i="7"/>
  <c r="G39" i="7"/>
  <c r="G41" i="7"/>
  <c r="G57" i="7"/>
  <c r="G63" i="7"/>
  <c r="G37" i="7"/>
  <c r="G12" i="7"/>
  <c r="G48" i="7"/>
  <c r="G46" i="7"/>
  <c r="G49" i="7"/>
  <c r="G33" i="7"/>
  <c r="G7" i="7"/>
  <c r="G10" i="7"/>
  <c r="G30" i="7"/>
  <c r="G18" i="7"/>
  <c r="G24" i="7"/>
  <c r="G23" i="7"/>
  <c r="G58" i="7"/>
  <c r="G56" i="7"/>
  <c r="G45" i="7"/>
  <c r="G22" i="7"/>
  <c r="I65" i="7"/>
  <c r="AX31" i="6"/>
  <c r="AB53" i="6"/>
  <c r="AB37" i="6"/>
  <c r="AB59" i="6"/>
  <c r="D54" i="1"/>
  <c r="D54" i="7"/>
  <c r="BB44" i="6"/>
  <c r="BC44" i="6" s="1"/>
  <c r="E68" i="6"/>
  <c r="F68" i="6" s="1"/>
  <c r="F31" i="6"/>
  <c r="E70" i="6"/>
  <c r="F70" i="6" s="1"/>
  <c r="F68" i="7"/>
  <c r="G68" i="7" s="1"/>
  <c r="T31" i="6"/>
  <c r="S68" i="6"/>
  <c r="T68" i="6" s="1"/>
  <c r="S70" i="6"/>
  <c r="T70" i="6" s="1"/>
  <c r="H42" i="7"/>
  <c r="I42" i="7" s="1"/>
  <c r="J35" i="7"/>
  <c r="I35" i="7"/>
  <c r="AA54" i="6"/>
  <c r="AB54" i="6" s="1"/>
  <c r="AB44" i="6"/>
  <c r="AD54" i="6"/>
  <c r="M68" i="6"/>
  <c r="N68" i="6" s="1"/>
  <c r="N31" i="6"/>
  <c r="M70" i="6"/>
  <c r="N70" i="6" s="1"/>
  <c r="AV68" i="6"/>
  <c r="AW68" i="6" s="1"/>
  <c r="AV70" i="6"/>
  <c r="AW70" i="6" s="1"/>
  <c r="U68" i="6"/>
  <c r="V68" i="6" s="1"/>
  <c r="V31" i="6"/>
  <c r="U70" i="6"/>
  <c r="V70" i="6" s="1"/>
  <c r="I68" i="6"/>
  <c r="J68" i="6" s="1"/>
  <c r="J31" i="6"/>
  <c r="I70" i="6"/>
  <c r="J70" i="6" s="1"/>
  <c r="I16" i="7"/>
  <c r="I49" i="7"/>
  <c r="I57" i="7"/>
  <c r="I61" i="7"/>
  <c r="I48" i="7"/>
  <c r="I39" i="7"/>
  <c r="I60" i="7"/>
  <c r="I15" i="7"/>
  <c r="I41" i="7"/>
  <c r="I53" i="7"/>
  <c r="I38" i="7"/>
  <c r="I67" i="7"/>
  <c r="I64" i="7"/>
  <c r="I19" i="7"/>
  <c r="I37" i="7"/>
  <c r="I62" i="7"/>
  <c r="I51" i="7"/>
  <c r="I46" i="7"/>
  <c r="I33" i="7"/>
  <c r="I47" i="7"/>
  <c r="I50" i="7"/>
  <c r="I40" i="7"/>
  <c r="I34" i="7"/>
  <c r="I59" i="7"/>
  <c r="I9" i="7"/>
  <c r="I12" i="7"/>
  <c r="I8" i="7"/>
  <c r="I63" i="7"/>
  <c r="I52" i="7"/>
  <c r="I36" i="7"/>
  <c r="I13" i="7"/>
  <c r="I14" i="7"/>
  <c r="I7" i="7"/>
  <c r="I10" i="7"/>
  <c r="BB35" i="6"/>
  <c r="BC35" i="6" s="1"/>
  <c r="J44" i="7"/>
  <c r="H54" i="7"/>
  <c r="I54" i="7" s="1"/>
  <c r="I44" i="7"/>
  <c r="AB52" i="6"/>
  <c r="AB67" i="6"/>
  <c r="AB9" i="6"/>
  <c r="AB15" i="6"/>
  <c r="AB14" i="6"/>
  <c r="AB8" i="6"/>
  <c r="AB12" i="6"/>
  <c r="AB19" i="6"/>
  <c r="AB13" i="6"/>
  <c r="AB16" i="6"/>
  <c r="AB7" i="6"/>
  <c r="AB10" i="6"/>
  <c r="AB22" i="6"/>
  <c r="AB62" i="6"/>
  <c r="AB41" i="6"/>
  <c r="AB34" i="6"/>
  <c r="AB61" i="6"/>
  <c r="AB45" i="6"/>
  <c r="AH31" i="6"/>
  <c r="AZ31" i="6"/>
  <c r="AB64" i="6"/>
  <c r="AB29" i="6"/>
  <c r="AB46" i="6"/>
  <c r="L18" i="7"/>
  <c r="J19" i="7"/>
  <c r="K56" i="7" s="1"/>
  <c r="AC68" i="6"/>
  <c r="AD68" i="6" s="1"/>
  <c r="AD31" i="6"/>
  <c r="AC70" i="6"/>
  <c r="AD70" i="6" s="1"/>
  <c r="D65" i="1"/>
  <c r="D65" i="7"/>
  <c r="D31" i="1"/>
  <c r="D31" i="7"/>
  <c r="L23" i="7"/>
  <c r="AB18" i="6"/>
  <c r="AS31" i="6"/>
  <c r="Y68" i="6"/>
  <c r="Z68" i="6" s="1"/>
  <c r="Z31" i="6"/>
  <c r="Y70" i="6"/>
  <c r="Z70" i="6" s="1"/>
  <c r="I45" i="7"/>
  <c r="AB40" i="6"/>
  <c r="G28" i="7"/>
  <c r="AB23" i="6"/>
  <c r="BC10" i="6"/>
  <c r="AB45" i="2"/>
  <c r="D19" i="7"/>
  <c r="L58" i="7"/>
  <c r="AB63" i="6"/>
  <c r="AB60" i="6"/>
  <c r="L45" i="7"/>
  <c r="I22" i="7"/>
  <c r="AB39" i="6"/>
  <c r="J28" i="7"/>
  <c r="H31" i="7"/>
  <c r="I31" i="7" s="1"/>
  <c r="I28" i="7"/>
  <c r="AD29" i="6"/>
  <c r="BB29" i="6" s="1"/>
  <c r="BC29" i="6" s="1"/>
  <c r="I30" i="7"/>
  <c r="BC22" i="6"/>
  <c r="AB35" i="6"/>
  <c r="L24" i="7"/>
  <c r="G29" i="7"/>
  <c r="AP31" i="6"/>
  <c r="AB36" i="6"/>
  <c r="AB47" i="6"/>
  <c r="AP47" i="6" s="1"/>
  <c r="AB56" i="6"/>
  <c r="AB28" i="6"/>
  <c r="AA31" i="6"/>
  <c r="L22" i="7"/>
  <c r="G31" i="7"/>
  <c r="BC48" i="6"/>
  <c r="L30" i="7"/>
  <c r="BC24" i="6"/>
  <c r="AB51" i="2"/>
  <c r="AB58" i="2"/>
  <c r="AB41" i="2"/>
  <c r="AB28" i="2"/>
  <c r="AB53" i="2"/>
  <c r="AB23" i="2"/>
  <c r="L65" i="1"/>
  <c r="AB56" i="2"/>
  <c r="AB49" i="2"/>
  <c r="AB50" i="2"/>
  <c r="AB39" i="2"/>
  <c r="AB9" i="2"/>
  <c r="AB60" i="2"/>
  <c r="AB61" i="2"/>
  <c r="AB34" i="2"/>
  <c r="AB22" i="2"/>
  <c r="AB7" i="2"/>
  <c r="AB16" i="2"/>
  <c r="AB38" i="2"/>
  <c r="AB46" i="2"/>
  <c r="AB14" i="2"/>
  <c r="AB48" i="2"/>
  <c r="AB12" i="2"/>
  <c r="AB67" i="2"/>
  <c r="AB13" i="2"/>
  <c r="AB44" i="2"/>
  <c r="AB35" i="2"/>
  <c r="AB33" i="2"/>
  <c r="AB19" i="2"/>
  <c r="AB59" i="2"/>
  <c r="AB52" i="2"/>
  <c r="AB29" i="2"/>
  <c r="K24" i="1"/>
  <c r="AB57" i="2"/>
  <c r="AB8" i="2"/>
  <c r="AB64" i="2"/>
  <c r="AB62" i="2"/>
  <c r="AB30" i="2"/>
  <c r="AB47" i="2"/>
  <c r="K18" i="1"/>
  <c r="AB10" i="2"/>
  <c r="AB24" i="2"/>
  <c r="K30" i="1"/>
  <c r="AB37" i="2"/>
  <c r="AB15" i="2"/>
  <c r="AB40" i="2"/>
  <c r="AB36" i="2"/>
  <c r="L29" i="1"/>
  <c r="K29" i="1"/>
  <c r="J54" i="1"/>
  <c r="K54" i="1" s="1"/>
  <c r="L44" i="1"/>
  <c r="K44" i="1"/>
  <c r="K61" i="1"/>
  <c r="K33" i="1"/>
  <c r="K39" i="1"/>
  <c r="K38" i="1"/>
  <c r="K37" i="1"/>
  <c r="K40" i="1"/>
  <c r="K57" i="1"/>
  <c r="K19" i="1"/>
  <c r="K62" i="1"/>
  <c r="K64" i="1"/>
  <c r="K53" i="1"/>
  <c r="K41" i="1"/>
  <c r="K60" i="1"/>
  <c r="K67" i="1"/>
  <c r="K36" i="1"/>
  <c r="K50" i="1"/>
  <c r="K46" i="1"/>
  <c r="K51" i="1"/>
  <c r="K48" i="1"/>
  <c r="K47" i="1"/>
  <c r="K59" i="1"/>
  <c r="K49" i="1"/>
  <c r="K34" i="1"/>
  <c r="K52" i="1"/>
  <c r="K63" i="1"/>
  <c r="K8" i="1"/>
  <c r="K7" i="1"/>
  <c r="K10" i="1"/>
  <c r="K14" i="1"/>
  <c r="K12" i="1"/>
  <c r="K13" i="1"/>
  <c r="K15" i="1"/>
  <c r="K9" i="1"/>
  <c r="K16" i="1"/>
  <c r="K58" i="1"/>
  <c r="L19" i="1"/>
  <c r="M18" i="1" s="1"/>
  <c r="K23" i="1"/>
  <c r="AB42" i="2"/>
  <c r="D42" i="1"/>
  <c r="H68" i="1"/>
  <c r="G68" i="1"/>
  <c r="J42" i="1"/>
  <c r="K42" i="1" s="1"/>
  <c r="L35" i="1"/>
  <c r="K35" i="1"/>
  <c r="K56" i="1"/>
  <c r="D19" i="1"/>
  <c r="AB18" i="2"/>
  <c r="K22" i="1"/>
  <c r="K65" i="1"/>
  <c r="J31" i="1"/>
  <c r="K31" i="1" s="1"/>
  <c r="L28" i="1"/>
  <c r="L31" i="1" s="1"/>
  <c r="M31" i="1" s="1"/>
  <c r="K28" i="1"/>
  <c r="AB63" i="2"/>
  <c r="BB31" i="2"/>
  <c r="AB65" i="2"/>
  <c r="AA68" i="2"/>
  <c r="D68" i="7" s="1"/>
  <c r="AB31" i="2"/>
  <c r="AB54" i="2"/>
  <c r="AA70" i="2"/>
  <c r="AT68" i="6" l="1"/>
  <c r="AU68" i="6" s="1"/>
  <c r="AR70" i="6"/>
  <c r="AS70" i="6" s="1"/>
  <c r="AR68" i="6"/>
  <c r="AS68" i="6" s="1"/>
  <c r="AT70" i="6"/>
  <c r="AU70" i="6" s="1"/>
  <c r="AN70" i="6"/>
  <c r="AO70" i="6" s="1"/>
  <c r="K24" i="7"/>
  <c r="AG70" i="6"/>
  <c r="AH70" i="6" s="1"/>
  <c r="K58" i="7"/>
  <c r="K23" i="7"/>
  <c r="F70" i="7"/>
  <c r="G70" i="7" s="1"/>
  <c r="K18" i="7"/>
  <c r="K30" i="7"/>
  <c r="E42" i="1"/>
  <c r="E42" i="7"/>
  <c r="E24" i="1"/>
  <c r="E24" i="7"/>
  <c r="E57" i="1"/>
  <c r="E57" i="7"/>
  <c r="E44" i="1"/>
  <c r="E44" i="7"/>
  <c r="E16" i="1"/>
  <c r="E16" i="7"/>
  <c r="E50" i="1"/>
  <c r="E50" i="7"/>
  <c r="E58" i="1"/>
  <c r="E58" i="7"/>
  <c r="BA31" i="6"/>
  <c r="AZ68" i="6"/>
  <c r="BA68" i="6" s="1"/>
  <c r="AZ70" i="6"/>
  <c r="BA70" i="6" s="1"/>
  <c r="E49" i="1"/>
  <c r="E49" i="7"/>
  <c r="AB31" i="6"/>
  <c r="AA68" i="6"/>
  <c r="AB68" i="6" s="1"/>
  <c r="J31" i="7"/>
  <c r="K31" i="7" s="1"/>
  <c r="L28" i="7"/>
  <c r="K28" i="7"/>
  <c r="L44" i="7"/>
  <c r="J54" i="7"/>
  <c r="K54" i="7" s="1"/>
  <c r="K44" i="7"/>
  <c r="AX68" i="6"/>
  <c r="AY68" i="6" s="1"/>
  <c r="AY31" i="6"/>
  <c r="AX70" i="6"/>
  <c r="AY70" i="6" s="1"/>
  <c r="K65" i="7"/>
  <c r="E51" i="1"/>
  <c r="E51" i="7"/>
  <c r="E29" i="1"/>
  <c r="E29" i="7"/>
  <c r="E67" i="1"/>
  <c r="E67" i="7"/>
  <c r="E22" i="1"/>
  <c r="E22" i="7"/>
  <c r="E56" i="1"/>
  <c r="E56" i="7"/>
  <c r="K64" i="7"/>
  <c r="K59" i="7"/>
  <c r="K61" i="7"/>
  <c r="K51" i="7"/>
  <c r="K36" i="7"/>
  <c r="K57" i="7"/>
  <c r="K50" i="7"/>
  <c r="K67" i="7"/>
  <c r="K46" i="7"/>
  <c r="K52" i="7"/>
  <c r="K60" i="7"/>
  <c r="K39" i="7"/>
  <c r="K12" i="7"/>
  <c r="K8" i="7"/>
  <c r="K63" i="7"/>
  <c r="K19" i="7"/>
  <c r="K38" i="7"/>
  <c r="K34" i="7"/>
  <c r="K15" i="7"/>
  <c r="K49" i="7"/>
  <c r="K40" i="7"/>
  <c r="K37" i="7"/>
  <c r="K48" i="7"/>
  <c r="K53" i="7"/>
  <c r="K33" i="7"/>
  <c r="K9" i="7"/>
  <c r="K16" i="7"/>
  <c r="K41" i="7"/>
  <c r="K47" i="7"/>
  <c r="K62" i="7"/>
  <c r="K13" i="7"/>
  <c r="K14" i="7"/>
  <c r="K7" i="7"/>
  <c r="K10" i="7"/>
  <c r="L65" i="7"/>
  <c r="E10" i="1"/>
  <c r="E10" i="7"/>
  <c r="E45" i="1"/>
  <c r="E45" i="7"/>
  <c r="H68" i="7"/>
  <c r="AI68" i="6"/>
  <c r="AJ68" i="6" s="1"/>
  <c r="AJ31" i="6"/>
  <c r="AI70" i="6"/>
  <c r="AJ70" i="6" s="1"/>
  <c r="D70" i="1"/>
  <c r="D13" i="4" s="1"/>
  <c r="D70" i="7"/>
  <c r="E47" i="1"/>
  <c r="E47" i="7"/>
  <c r="E31" i="1"/>
  <c r="E31" i="7"/>
  <c r="F14" i="8"/>
  <c r="F15" i="8"/>
  <c r="E40" i="1"/>
  <c r="E40" i="7"/>
  <c r="E30" i="1"/>
  <c r="E30" i="7"/>
  <c r="E59" i="1"/>
  <c r="E59" i="7"/>
  <c r="E48" i="1"/>
  <c r="E48" i="7"/>
  <c r="E61" i="1"/>
  <c r="E61" i="7"/>
  <c r="E23" i="1"/>
  <c r="E23" i="7"/>
  <c r="AQ47" i="6"/>
  <c r="BB47" i="6" s="1"/>
  <c r="BC47" i="6" s="1"/>
  <c r="AP54" i="6"/>
  <c r="AQ54" i="6" s="1"/>
  <c r="K45" i="7"/>
  <c r="L19" i="7"/>
  <c r="AA70" i="6"/>
  <c r="AB70" i="6" s="1"/>
  <c r="E7" i="1"/>
  <c r="E7" i="7"/>
  <c r="E36" i="1"/>
  <c r="E36" i="7"/>
  <c r="E34" i="1"/>
  <c r="E34" i="7"/>
  <c r="E15" i="1"/>
  <c r="E15" i="7"/>
  <c r="E62" i="1"/>
  <c r="E62" i="7"/>
  <c r="E19" i="1"/>
  <c r="E19" i="7"/>
  <c r="E14" i="1"/>
  <c r="E14" i="7"/>
  <c r="E60" i="1"/>
  <c r="E60" i="7"/>
  <c r="E53" i="1"/>
  <c r="E53" i="7"/>
  <c r="L29" i="7"/>
  <c r="K29" i="7"/>
  <c r="E13" i="1"/>
  <c r="E13" i="7"/>
  <c r="E12" i="1"/>
  <c r="E12" i="7"/>
  <c r="E33" i="1"/>
  <c r="E33" i="7"/>
  <c r="AQ31" i="6"/>
  <c r="E63" i="1"/>
  <c r="E63" i="7"/>
  <c r="E54" i="1"/>
  <c r="E54" i="7"/>
  <c r="E52" i="1"/>
  <c r="E52" i="7"/>
  <c r="E65" i="1"/>
  <c r="E65" i="7"/>
  <c r="E18" i="1"/>
  <c r="E18" i="7"/>
  <c r="E37" i="1"/>
  <c r="E37" i="7"/>
  <c r="E64" i="1"/>
  <c r="E64" i="7"/>
  <c r="E46" i="1"/>
  <c r="E46" i="7"/>
  <c r="E28" i="1"/>
  <c r="E28" i="7"/>
  <c r="E8" i="1"/>
  <c r="E8" i="7"/>
  <c r="E35" i="1"/>
  <c r="E35" i="7"/>
  <c r="E38" i="1"/>
  <c r="E38" i="7"/>
  <c r="E39" i="1"/>
  <c r="E39" i="7"/>
  <c r="E41" i="1"/>
  <c r="E41" i="7"/>
  <c r="K22" i="7"/>
  <c r="J42" i="7"/>
  <c r="K42" i="7" s="1"/>
  <c r="L35" i="7"/>
  <c r="K35" i="7"/>
  <c r="AK68" i="6"/>
  <c r="AL68" i="6" s="1"/>
  <c r="AL31" i="6"/>
  <c r="AK70" i="6"/>
  <c r="AL70" i="6" s="1"/>
  <c r="G70" i="1"/>
  <c r="F13" i="4"/>
  <c r="F14" i="4"/>
  <c r="AP47" i="2"/>
  <c r="AQ47" i="2" s="1"/>
  <c r="BB47" i="2" s="1"/>
  <c r="M10" i="1"/>
  <c r="M24" i="1"/>
  <c r="M47" i="1"/>
  <c r="M23" i="1"/>
  <c r="M56" i="1"/>
  <c r="M16" i="1"/>
  <c r="L42" i="1"/>
  <c r="M35" i="1"/>
  <c r="I68" i="1"/>
  <c r="H70" i="1"/>
  <c r="J68" i="1"/>
  <c r="L54" i="1"/>
  <c r="M54" i="1" s="1"/>
  <c r="M44" i="1"/>
  <c r="M61" i="1"/>
  <c r="M57" i="1"/>
  <c r="M49" i="1"/>
  <c r="M41" i="1"/>
  <c r="M38" i="1"/>
  <c r="M34" i="1"/>
  <c r="M19" i="1"/>
  <c r="M64" i="1"/>
  <c r="M60" i="1"/>
  <c r="M53" i="1"/>
  <c r="M46" i="1"/>
  <c r="M39" i="1"/>
  <c r="M37" i="1"/>
  <c r="M62" i="1"/>
  <c r="M50" i="1"/>
  <c r="M8" i="1"/>
  <c r="M15" i="1"/>
  <c r="M13" i="1"/>
  <c r="M12" i="1"/>
  <c r="M9" i="1"/>
  <c r="M65" i="1"/>
  <c r="M7" i="1"/>
  <c r="M14" i="1"/>
  <c r="AB68" i="2"/>
  <c r="D68" i="1"/>
  <c r="M30" i="1"/>
  <c r="BC31" i="2"/>
  <c r="M36" i="1"/>
  <c r="M28" i="1"/>
  <c r="M59" i="1"/>
  <c r="AB70" i="2"/>
  <c r="M33" i="1"/>
  <c r="AP70" i="6" l="1"/>
  <c r="AQ70" i="6" s="1"/>
  <c r="D14" i="4"/>
  <c r="D15" i="4" s="1"/>
  <c r="F16" i="8"/>
  <c r="BB31" i="6"/>
  <c r="BC31" i="6" s="1"/>
  <c r="AP54" i="2"/>
  <c r="AP68" i="2" s="1"/>
  <c r="L54" i="7"/>
  <c r="M54" i="7" s="1"/>
  <c r="M44" i="7"/>
  <c r="E68" i="1"/>
  <c r="E68" i="7"/>
  <c r="AP68" i="6"/>
  <c r="AQ68" i="6" s="1"/>
  <c r="D14" i="8"/>
  <c r="D15" i="8"/>
  <c r="J68" i="7"/>
  <c r="L42" i="7"/>
  <c r="M42" i="7" s="1"/>
  <c r="M35" i="7"/>
  <c r="M64" i="7"/>
  <c r="M53" i="7"/>
  <c r="M61" i="7"/>
  <c r="M40" i="7"/>
  <c r="M15" i="7"/>
  <c r="M16" i="7"/>
  <c r="M19" i="7"/>
  <c r="M8" i="7"/>
  <c r="M33" i="7"/>
  <c r="M51" i="7"/>
  <c r="M49" i="7"/>
  <c r="M57" i="7"/>
  <c r="M63" i="7"/>
  <c r="M14" i="7"/>
  <c r="M39" i="7"/>
  <c r="M62" i="7"/>
  <c r="M50" i="7"/>
  <c r="M59" i="7"/>
  <c r="M46" i="7"/>
  <c r="M36" i="7"/>
  <c r="M37" i="7"/>
  <c r="M47" i="7"/>
  <c r="M60" i="7"/>
  <c r="M34" i="7"/>
  <c r="M9" i="7"/>
  <c r="M12" i="7"/>
  <c r="M52" i="7"/>
  <c r="M38" i="7"/>
  <c r="M67" i="7"/>
  <c r="M13" i="7"/>
  <c r="M48" i="7"/>
  <c r="M41" i="7"/>
  <c r="M7" i="7"/>
  <c r="M10" i="7"/>
  <c r="M29" i="7"/>
  <c r="M56" i="7"/>
  <c r="M23" i="7"/>
  <c r="M45" i="7"/>
  <c r="M65" i="7"/>
  <c r="M58" i="7"/>
  <c r="H14" i="8"/>
  <c r="H15" i="8"/>
  <c r="M30" i="7"/>
  <c r="I68" i="7"/>
  <c r="H70" i="7"/>
  <c r="I70" i="7" s="1"/>
  <c r="L31" i="7"/>
  <c r="M31" i="7" s="1"/>
  <c r="M28" i="7"/>
  <c r="BB54" i="6"/>
  <c r="BC54" i="6" s="1"/>
  <c r="E70" i="1"/>
  <c r="E70" i="7"/>
  <c r="BB70" i="6"/>
  <c r="BC70" i="6" s="1"/>
  <c r="M18" i="7"/>
  <c r="M24" i="7"/>
  <c r="M22" i="7"/>
  <c r="F15" i="4"/>
  <c r="I70" i="1"/>
  <c r="H14" i="4"/>
  <c r="H13" i="4"/>
  <c r="L68" i="1"/>
  <c r="K68" i="1"/>
  <c r="J70" i="1"/>
  <c r="BC47" i="2"/>
  <c r="M22" i="1"/>
  <c r="M58" i="1"/>
  <c r="M29" i="1"/>
  <c r="M51" i="1"/>
  <c r="M42" i="1"/>
  <c r="M48" i="1"/>
  <c r="M40" i="1"/>
  <c r="AP70" i="2" l="1"/>
  <c r="AQ70" i="2" s="1"/>
  <c r="BB70" i="2" s="1"/>
  <c r="AQ54" i="2"/>
  <c r="BB54" i="2" s="1"/>
  <c r="BC54" i="2" s="1"/>
  <c r="L68" i="7"/>
  <c r="M68" i="7" s="1"/>
  <c r="K68" i="7"/>
  <c r="J70" i="7"/>
  <c r="K70" i="7" s="1"/>
  <c r="D16" i="8"/>
  <c r="H16" i="8"/>
  <c r="J15" i="8"/>
  <c r="J14" i="8"/>
  <c r="BB68" i="6"/>
  <c r="BC68" i="6" s="1"/>
  <c r="H15" i="4"/>
  <c r="K70" i="1"/>
  <c r="J14" i="4"/>
  <c r="J13" i="4"/>
  <c r="M68" i="1"/>
  <c r="L70" i="1"/>
  <c r="AQ68" i="2"/>
  <c r="BB68" i="2" s="1"/>
  <c r="M63" i="1"/>
  <c r="L70" i="7" l="1"/>
  <c r="M70" i="7" s="1"/>
  <c r="J16" i="8"/>
  <c r="L15" i="8"/>
  <c r="L14" i="8"/>
  <c r="J15" i="4"/>
  <c r="M70" i="1"/>
  <c r="L14" i="4"/>
  <c r="L13" i="4"/>
  <c r="BC68" i="2"/>
  <c r="BC70" i="2"/>
  <c r="L16" i="8" l="1"/>
  <c r="L15" i="4"/>
  <c r="M45" i="1"/>
  <c r="M52" i="1" l="1"/>
  <c r="M67" i="1" l="1"/>
</calcChain>
</file>

<file path=xl/sharedStrings.xml><?xml version="1.0" encoding="utf-8"?>
<sst xmlns="http://schemas.openxmlformats.org/spreadsheetml/2006/main" count="371" uniqueCount="166">
  <si>
    <t>5 Year Summary</t>
  </si>
  <si>
    <t>Base year</t>
  </si>
  <si>
    <t>Year 2</t>
  </si>
  <si>
    <t>Year 3</t>
  </si>
  <si>
    <t>REVENUE</t>
  </si>
  <si>
    <t>Beverage Sales</t>
  </si>
  <si>
    <t>Total Gross Revenue</t>
  </si>
  <si>
    <t>COGS</t>
  </si>
  <si>
    <t>Advertising and Promotion</t>
  </si>
  <si>
    <t>Cleaning Supplies</t>
  </si>
  <si>
    <t>Comps / Discounts</t>
  </si>
  <si>
    <t>Banking Expense</t>
  </si>
  <si>
    <t>Computer and Internet Expenses</t>
  </si>
  <si>
    <t>General Liability Insurance</t>
  </si>
  <si>
    <t>Work Comp Insurance</t>
  </si>
  <si>
    <t>Linens Service</t>
  </si>
  <si>
    <t>Merchant Account Fees</t>
  </si>
  <si>
    <t>Payroll Tax Expenses</t>
  </si>
  <si>
    <t>Accounting</t>
  </si>
  <si>
    <t>Rent Expense</t>
  </si>
  <si>
    <t>Supplies - Office</t>
  </si>
  <si>
    <t>Telephone Expense</t>
  </si>
  <si>
    <t>Utilities</t>
  </si>
  <si>
    <t>Uniforms</t>
  </si>
  <si>
    <t>Total Expenses</t>
  </si>
  <si>
    <t>Seating</t>
  </si>
  <si>
    <t>Guest Average</t>
  </si>
  <si>
    <t>Food</t>
  </si>
  <si>
    <t>Beverage</t>
  </si>
  <si>
    <t>Dinner PPA</t>
  </si>
  <si>
    <t>PEAK SALES</t>
  </si>
  <si>
    <t>Table Turns</t>
  </si>
  <si>
    <t>Dinner</t>
  </si>
  <si>
    <t>Dinner Beverage</t>
  </si>
  <si>
    <t>Monday</t>
  </si>
  <si>
    <t>Tuesday</t>
  </si>
  <si>
    <t>Wednesday</t>
  </si>
  <si>
    <t>Thursday</t>
  </si>
  <si>
    <t>Friday</t>
  </si>
  <si>
    <t>Saturday</t>
  </si>
  <si>
    <t>Sunday</t>
  </si>
  <si>
    <t>Estimate Annual Sales</t>
  </si>
  <si>
    <t>Peak Sales</t>
  </si>
  <si>
    <t>Total Restaurant Sales</t>
  </si>
  <si>
    <t>General Assumptions for Pro Forma and Projections</t>
  </si>
  <si>
    <t>Hours of Operation:  Full Café Open 7 days a Week</t>
  </si>
  <si>
    <t>Monday thru Thursday</t>
  </si>
  <si>
    <t>Annualized Pro Forma Assumptions:</t>
  </si>
  <si>
    <t>Year 1:</t>
  </si>
  <si>
    <t>Year 2:</t>
  </si>
  <si>
    <t>Year 3:</t>
  </si>
  <si>
    <t>8% growth in all revenue streams</t>
  </si>
  <si>
    <t>Year 4:</t>
  </si>
  <si>
    <t>Year 5:</t>
  </si>
  <si>
    <t>Garden Capacity:  0</t>
  </si>
  <si>
    <t>EBIDTA</t>
  </si>
  <si>
    <t>Total  Blended COGS</t>
  </si>
  <si>
    <t>Dinner Avg Seating</t>
  </si>
  <si>
    <t>Brunch PPA</t>
  </si>
  <si>
    <t>Brunch</t>
  </si>
  <si>
    <t xml:space="preserve">Brunch Food </t>
  </si>
  <si>
    <t>Brunch Beverage</t>
  </si>
  <si>
    <t>Total Capacity</t>
  </si>
  <si>
    <t>Brunch Avg Seating</t>
  </si>
  <si>
    <t>Total PPA</t>
  </si>
  <si>
    <t>15% growth in all revenue streams</t>
  </si>
  <si>
    <t>13% growth in all revenue streams</t>
  </si>
  <si>
    <t>5% growth in all revenue streams</t>
  </si>
  <si>
    <t>Operational Weeks</t>
  </si>
  <si>
    <t>Total Weekly Sales</t>
  </si>
  <si>
    <t>Brunch Food</t>
  </si>
  <si>
    <t>Dinner Food</t>
  </si>
  <si>
    <t>Valet Parking</t>
  </si>
  <si>
    <t>Labor Expenses</t>
  </si>
  <si>
    <t>China, Glass, Flatware</t>
  </si>
  <si>
    <t>Kitchen Supplies</t>
  </si>
  <si>
    <t>Licenses &amp; Permits</t>
  </si>
  <si>
    <t>Property Tax</t>
  </si>
  <si>
    <t>Repair and Maintenance</t>
  </si>
  <si>
    <t>Flowers / Décor</t>
  </si>
  <si>
    <t>Janitorial Services</t>
  </si>
  <si>
    <t>Reservation Systems</t>
  </si>
  <si>
    <t>Security Systems</t>
  </si>
  <si>
    <t>Contingency</t>
  </si>
  <si>
    <t>Administrative Expenses:</t>
  </si>
  <si>
    <t>Restaurant Controllable Expenses:</t>
  </si>
  <si>
    <t>Payroll Expense:</t>
  </si>
  <si>
    <t>Non-Controllable Expenses:</t>
  </si>
  <si>
    <t>EXPENSE LINES</t>
  </si>
  <si>
    <t>Total Food Sales</t>
  </si>
  <si>
    <t>Liquor Sales</t>
  </si>
  <si>
    <t>Wine Sales</t>
  </si>
  <si>
    <t>Beer Sales</t>
  </si>
  <si>
    <t>NA Beverage</t>
  </si>
  <si>
    <t>Month 1</t>
  </si>
  <si>
    <t>Month 2</t>
  </si>
  <si>
    <t>Month 3</t>
  </si>
  <si>
    <t>Month 4</t>
  </si>
  <si>
    <t>Month 5</t>
  </si>
  <si>
    <t>Month 6</t>
  </si>
  <si>
    <t>Month 7</t>
  </si>
  <si>
    <t>Month 8</t>
  </si>
  <si>
    <t>Month 9</t>
  </si>
  <si>
    <t>Month 10</t>
  </si>
  <si>
    <t>Month 11</t>
  </si>
  <si>
    <t>Month 12</t>
  </si>
  <si>
    <t>Month 13</t>
  </si>
  <si>
    <t>Month 14</t>
  </si>
  <si>
    <t>Month 15</t>
  </si>
  <si>
    <t>Month 16</t>
  </si>
  <si>
    <t>Month 17</t>
  </si>
  <si>
    <t>Month 18</t>
  </si>
  <si>
    <t>Month 19</t>
  </si>
  <si>
    <t>Month 20</t>
  </si>
  <si>
    <t>Month 21</t>
  </si>
  <si>
    <t>Month 22</t>
  </si>
  <si>
    <t>Month 23</t>
  </si>
  <si>
    <t>Month 24</t>
  </si>
  <si>
    <t>12-Month Total</t>
  </si>
  <si>
    <t>Year 1</t>
  </si>
  <si>
    <t>Year 2 Total</t>
  </si>
  <si>
    <t xml:space="preserve">  </t>
  </si>
  <si>
    <t>Landscaping</t>
  </si>
  <si>
    <t>Bar Sales</t>
  </si>
  <si>
    <t>Total Revenue</t>
  </si>
  <si>
    <t>Restaurant Capacity:  120</t>
  </si>
  <si>
    <t>Social House Projections</t>
  </si>
  <si>
    <t>Food Cost</t>
  </si>
  <si>
    <t>Beverage Cost</t>
  </si>
  <si>
    <t>Entertainment</t>
  </si>
  <si>
    <t>Management Fee</t>
  </si>
  <si>
    <t>Special Event Sales</t>
  </si>
  <si>
    <t>Special Event Expense</t>
  </si>
  <si>
    <t>Monthly Pro Forma - 12 Month Budget</t>
  </si>
  <si>
    <t>Marketing Materials</t>
  </si>
  <si>
    <t>Bar Sales Avg Seating</t>
  </si>
  <si>
    <t>Bar Sales PPA</t>
  </si>
  <si>
    <t>Bar Sales Food</t>
  </si>
  <si>
    <t>Bar Sales Beverage</t>
  </si>
  <si>
    <t>Dinner and Bar Sales</t>
  </si>
  <si>
    <t>Brunch, Dinner, and Bar Sales</t>
  </si>
  <si>
    <t>Sources</t>
  </si>
  <si>
    <t>Construction</t>
  </si>
  <si>
    <t>Pre Opening Labor</t>
  </si>
  <si>
    <t>Liquor License</t>
  </si>
  <si>
    <t>Pre Opening Cost Other</t>
  </si>
  <si>
    <t>Rent Deposit</t>
  </si>
  <si>
    <t>In 1,000's</t>
  </si>
  <si>
    <t>Equity Split 70/30</t>
  </si>
  <si>
    <t>Option 1</t>
  </si>
  <si>
    <t>Option 2</t>
  </si>
  <si>
    <t>Loan Over 5 Years at 25% Interest</t>
  </si>
  <si>
    <t>Investor</t>
  </si>
  <si>
    <t>Total Capital Investment</t>
  </si>
  <si>
    <t>Total Payroll Expense</t>
  </si>
  <si>
    <t>Total Administrative Expenses</t>
  </si>
  <si>
    <t>Total Restaurant Controllable Expense</t>
  </si>
  <si>
    <t>Total Non-Controllable Expenses</t>
  </si>
  <si>
    <t>base year</t>
  </si>
  <si>
    <t>Supreme Team LA</t>
  </si>
  <si>
    <t>Year 4</t>
  </si>
  <si>
    <t>Year 5</t>
  </si>
  <si>
    <t>Total Yearly sales by item</t>
  </si>
  <si>
    <t>Total Profit</t>
  </si>
  <si>
    <t>Supreme Team LA 30%</t>
  </si>
  <si>
    <t>Investor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</si>
</sst>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quot;$&quot;#,##0\ ;\(&quot;$&quot;#,##0\)"/>
    <numFmt numFmtId="168" formatCode="0.0"/>
  </numFmts>
  <fonts count="26" x14ac:knownFonts="1">
    <font>
      <sz val="10"/>
      <name val="Arial"/>
      <family val="2"/>
    </font>
    <font>
      <sz val="10"/>
      <name val="Arial"/>
      <family val="2"/>
    </font>
    <font>
      <b/>
      <sz val="18"/>
      <color indexed="8"/>
      <name val="Gulim"/>
      <family val="2"/>
    </font>
    <font>
      <sz val="12"/>
      <color indexed="8"/>
      <name val="Arial"/>
      <family val="2"/>
    </font>
    <font>
      <sz val="10"/>
      <color indexed="8"/>
      <name val="Arial"/>
      <family val="2"/>
    </font>
    <font>
      <sz val="8"/>
      <color indexed="8"/>
      <name val="Arial"/>
      <family val="2"/>
    </font>
    <font>
      <b/>
      <sz val="10"/>
      <name val="Arial"/>
      <family val="2"/>
    </font>
    <font>
      <b/>
      <sz val="8"/>
      <color indexed="8"/>
      <name val="Arial"/>
      <family val="2"/>
    </font>
    <font>
      <sz val="8"/>
      <name val="Arial"/>
      <family val="2"/>
    </font>
    <font>
      <b/>
      <sz val="8"/>
      <name val="Arial"/>
      <family val="2"/>
    </font>
    <font>
      <b/>
      <i/>
      <sz val="8"/>
      <color indexed="8"/>
      <name val="Arial"/>
      <family val="2"/>
    </font>
    <font>
      <b/>
      <i/>
      <sz val="8"/>
      <name val="Arial"/>
      <family val="2"/>
    </font>
    <font>
      <sz val="10"/>
      <name val="Gulim"/>
      <family val="2"/>
    </font>
    <font>
      <b/>
      <sz val="8"/>
      <name val="Gulim"/>
      <family val="2"/>
    </font>
    <font>
      <sz val="10"/>
      <color theme="0"/>
      <name val="Arial"/>
      <family val="2"/>
    </font>
    <font>
      <i/>
      <sz val="8"/>
      <name val="Arial"/>
      <family val="2"/>
    </font>
    <font>
      <b/>
      <sz val="18"/>
      <name val="Gulim"/>
      <family val="2"/>
    </font>
    <font>
      <b/>
      <u/>
      <sz val="8"/>
      <name val="Arial"/>
      <family val="2"/>
    </font>
    <font>
      <b/>
      <u val="singleAccounting"/>
      <sz val="8"/>
      <name val="Arial"/>
      <family val="2"/>
    </font>
    <font>
      <b/>
      <sz val="18"/>
      <color indexed="8"/>
      <name val="Arial"/>
      <family val="2"/>
    </font>
    <font>
      <b/>
      <sz val="12"/>
      <color indexed="8"/>
      <name val="Arial"/>
      <family val="2"/>
    </font>
    <font>
      <sz val="12"/>
      <color indexed="22"/>
      <name val="Times New Roman"/>
      <family val="1"/>
    </font>
    <font>
      <b/>
      <sz val="10"/>
      <color theme="0"/>
      <name val="Arial"/>
      <family val="2"/>
    </font>
    <font>
      <b/>
      <sz val="8"/>
      <color theme="0"/>
      <name val="Arial"/>
      <family val="2"/>
    </font>
    <font>
      <b/>
      <sz val="10"/>
      <color indexed="8"/>
      <name val="Arial"/>
      <family val="2"/>
    </font>
    <font>
      <sz val="20"/>
      <name val="Arial"/>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s>
  <cellStyleXfs count="11">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3" fontId="21" fillId="0" borderId="0" applyFont="0" applyFill="0" applyBorder="0" applyAlignment="0" applyProtection="0"/>
    <xf numFmtId="44" fontId="1" fillId="0" borderId="0" applyFont="0" applyFill="0" applyBorder="0" applyAlignment="0" applyProtection="0"/>
    <xf numFmtId="167" fontId="21" fillId="0" borderId="0" applyFont="0" applyFill="0" applyBorder="0" applyAlignment="0" applyProtection="0"/>
    <xf numFmtId="0" fontId="21" fillId="0" borderId="0" applyFont="0" applyFill="0" applyBorder="0" applyAlignment="0" applyProtection="0"/>
    <xf numFmtId="2" fontId="21" fillId="0" borderId="0" applyFont="0" applyFill="0" applyBorder="0" applyAlignment="0" applyProtection="0"/>
    <xf numFmtId="0" fontId="1" fillId="0" borderId="0"/>
  </cellStyleXfs>
  <cellXfs count="127">
    <xf numFmtId="0" fontId="0" fillId="0" borderId="0" xfId="0"/>
    <xf numFmtId="0" fontId="4" fillId="0" borderId="0" xfId="0" applyFont="1" applyAlignment="1">
      <alignment horizontal="center"/>
    </xf>
    <xf numFmtId="44" fontId="4" fillId="0" borderId="0" xfId="2" applyFont="1" applyAlignment="1">
      <alignment horizontal="center"/>
    </xf>
    <xf numFmtId="0" fontId="5" fillId="0" borderId="0" xfId="0" applyFont="1"/>
    <xf numFmtId="0" fontId="5" fillId="0" borderId="0" xfId="0" applyFont="1" applyAlignment="1">
      <alignment horizontal="center"/>
    </xf>
    <xf numFmtId="0" fontId="6" fillId="0" borderId="1" xfId="0" applyFont="1" applyBorder="1" applyAlignment="1">
      <alignment horizontal="right"/>
    </xf>
    <xf numFmtId="0" fontId="0" fillId="0" borderId="0" xfId="0" applyAlignment="1">
      <alignment horizontal="center"/>
    </xf>
    <xf numFmtId="0" fontId="5" fillId="0" borderId="0" xfId="2" applyNumberFormat="1" applyFont="1" applyAlignment="1">
      <alignment horizontal="center"/>
    </xf>
    <xf numFmtId="0" fontId="8" fillId="0" borderId="0" xfId="0" applyFont="1" applyAlignment="1">
      <alignment horizontal="center"/>
    </xf>
    <xf numFmtId="43" fontId="5" fillId="0" borderId="0" xfId="0" applyNumberFormat="1" applyFont="1"/>
    <xf numFmtId="164" fontId="5" fillId="0" borderId="0" xfId="2" applyNumberFormat="1" applyFont="1"/>
    <xf numFmtId="164" fontId="8" fillId="0" borderId="0" xfId="0" applyNumberFormat="1" applyFont="1"/>
    <xf numFmtId="164" fontId="8" fillId="0" borderId="0" xfId="1" applyNumberFormat="1" applyFont="1"/>
    <xf numFmtId="0" fontId="8" fillId="0" borderId="0" xfId="0" applyFont="1"/>
    <xf numFmtId="0" fontId="10" fillId="0" borderId="0" xfId="0" applyFont="1"/>
    <xf numFmtId="44" fontId="10" fillId="0" borderId="0" xfId="0" applyNumberFormat="1" applyFont="1"/>
    <xf numFmtId="0" fontId="11" fillId="0" borderId="0" xfId="0" applyFont="1"/>
    <xf numFmtId="0" fontId="12" fillId="0" borderId="0" xfId="0" applyFont="1"/>
    <xf numFmtId="0" fontId="13" fillId="0" borderId="0" xfId="0" applyFont="1"/>
    <xf numFmtId="10" fontId="12" fillId="0" borderId="0" xfId="3" applyNumberFormat="1" applyFont="1"/>
    <xf numFmtId="0" fontId="9" fillId="0" borderId="0" xfId="0" applyFont="1"/>
    <xf numFmtId="10" fontId="0" fillId="0" borderId="0" xfId="3" applyNumberFormat="1" applyFont="1"/>
    <xf numFmtId="165" fontId="0" fillId="0" borderId="0" xfId="2" applyNumberFormat="1" applyFont="1"/>
    <xf numFmtId="0" fontId="6" fillId="0" borderId="0" xfId="0" applyFont="1"/>
    <xf numFmtId="0" fontId="6" fillId="0" borderId="0" xfId="0" applyFont="1" applyAlignment="1">
      <alignment horizontal="center"/>
    </xf>
    <xf numFmtId="0" fontId="9" fillId="0" borderId="0" xfId="0" applyFont="1" applyAlignment="1">
      <alignment horizontal="center"/>
    </xf>
    <xf numFmtId="10" fontId="0" fillId="0" borderId="0" xfId="3" applyNumberFormat="1" applyFont="1" applyAlignment="1">
      <alignment horizontal="center"/>
    </xf>
    <xf numFmtId="0" fontId="7" fillId="0" borderId="0" xfId="0" applyFont="1" applyAlignment="1">
      <alignment horizontal="center"/>
    </xf>
    <xf numFmtId="10" fontId="14" fillId="0" borderId="0" xfId="3" applyNumberFormat="1" applyFont="1" applyAlignment="1">
      <alignment horizontal="center"/>
    </xf>
    <xf numFmtId="165" fontId="8" fillId="0" borderId="0" xfId="2" applyNumberFormat="1" applyFont="1"/>
    <xf numFmtId="166" fontId="9" fillId="0" borderId="0" xfId="3" applyNumberFormat="1" applyFont="1" applyAlignment="1">
      <alignment horizontal="center"/>
    </xf>
    <xf numFmtId="10" fontId="8" fillId="0" borderId="0" xfId="3" applyNumberFormat="1" applyFont="1"/>
    <xf numFmtId="0" fontId="10" fillId="0" borderId="0" xfId="0" applyFont="1" applyAlignment="1">
      <alignment horizontal="right"/>
    </xf>
    <xf numFmtId="164" fontId="11" fillId="0" borderId="0" xfId="1" applyNumberFormat="1" applyFont="1"/>
    <xf numFmtId="10" fontId="11" fillId="0" borderId="0" xfId="3" applyNumberFormat="1" applyFont="1"/>
    <xf numFmtId="164" fontId="15" fillId="0" borderId="0" xfId="1" applyNumberFormat="1" applyFont="1"/>
    <xf numFmtId="0" fontId="11" fillId="0" borderId="0" xfId="0" applyFont="1" applyAlignment="1">
      <alignment horizontal="right"/>
    </xf>
    <xf numFmtId="165" fontId="9" fillId="0" borderId="0" xfId="2" applyNumberFormat="1" applyFont="1"/>
    <xf numFmtId="164" fontId="1" fillId="0" borderId="0" xfId="1" applyNumberFormat="1"/>
    <xf numFmtId="164" fontId="0" fillId="0" borderId="0" xfId="1" applyNumberFormat="1" applyFont="1"/>
    <xf numFmtId="165" fontId="1" fillId="0" borderId="0" xfId="2" applyNumberFormat="1"/>
    <xf numFmtId="164" fontId="6" fillId="0" borderId="2" xfId="1" applyNumberFormat="1" applyFont="1" applyBorder="1"/>
    <xf numFmtId="43" fontId="1" fillId="0" borderId="0" xfId="1"/>
    <xf numFmtId="0" fontId="16" fillId="0" borderId="0" xfId="0" applyFont="1"/>
    <xf numFmtId="0" fontId="17" fillId="0" borderId="0" xfId="0" applyFont="1" applyAlignment="1">
      <alignment horizontal="center"/>
    </xf>
    <xf numFmtId="44" fontId="8" fillId="0" borderId="0" xfId="2" applyFont="1"/>
    <xf numFmtId="44" fontId="8" fillId="0" borderId="0" xfId="2" applyFont="1" applyAlignment="1">
      <alignment horizontal="center"/>
    </xf>
    <xf numFmtId="0" fontId="17" fillId="0" borderId="0" xfId="0" applyFont="1" applyAlignment="1">
      <alignment horizontal="center" vertical="center"/>
    </xf>
    <xf numFmtId="0" fontId="17" fillId="0" borderId="0" xfId="0" applyFont="1"/>
    <xf numFmtId="0" fontId="17" fillId="0" borderId="0" xfId="0" applyFont="1" applyAlignment="1">
      <alignment wrapText="1"/>
    </xf>
    <xf numFmtId="165" fontId="8" fillId="0" borderId="0" xfId="0" applyNumberFormat="1" applyFont="1"/>
    <xf numFmtId="0" fontId="8" fillId="0" borderId="2" xfId="0" applyFont="1" applyBorder="1"/>
    <xf numFmtId="0" fontId="9" fillId="0" borderId="2" xfId="0" applyFont="1" applyBorder="1" applyAlignment="1">
      <alignment horizontal="right"/>
    </xf>
    <xf numFmtId="0" fontId="9" fillId="0" borderId="0" xfId="0" applyFont="1" applyAlignment="1">
      <alignment horizontal="right"/>
    </xf>
    <xf numFmtId="165" fontId="9" fillId="0" borderId="2" xfId="2" applyNumberFormat="1" applyFont="1" applyBorder="1"/>
    <xf numFmtId="44" fontId="18" fillId="0" borderId="0" xfId="2" applyFont="1"/>
    <xf numFmtId="0" fontId="17" fillId="0" borderId="0" xfId="0" applyFont="1" applyAlignment="1">
      <alignment horizontal="right"/>
    </xf>
    <xf numFmtId="44" fontId="8" fillId="0" borderId="0" xfId="0" applyNumberFormat="1" applyFont="1"/>
    <xf numFmtId="0" fontId="9" fillId="0" borderId="2" xfId="0" applyFont="1" applyBorder="1"/>
    <xf numFmtId="165" fontId="9" fillId="0" borderId="2" xfId="0" applyNumberFormat="1" applyFont="1" applyBorder="1"/>
    <xf numFmtId="0" fontId="19" fillId="0" borderId="0" xfId="0" applyFont="1"/>
    <xf numFmtId="0" fontId="20" fillId="0" borderId="0" xfId="0" applyFont="1"/>
    <xf numFmtId="0" fontId="20" fillId="0" borderId="0" xfId="0" applyFont="1" applyAlignment="1">
      <alignment horizontal="center"/>
    </xf>
    <xf numFmtId="9" fontId="8" fillId="0" borderId="0" xfId="0" applyNumberFormat="1" applyFont="1"/>
    <xf numFmtId="166" fontId="5" fillId="0" borderId="0" xfId="3" applyNumberFormat="1" applyFont="1"/>
    <xf numFmtId="0" fontId="8" fillId="0" borderId="0" xfId="0" applyFont="1" applyAlignment="1">
      <alignment horizontal="left"/>
    </xf>
    <xf numFmtId="168" fontId="8" fillId="0" borderId="0" xfId="0" applyNumberFormat="1" applyFont="1" applyAlignment="1">
      <alignment horizontal="center"/>
    </xf>
    <xf numFmtId="10" fontId="22" fillId="0" borderId="0" xfId="3" applyNumberFormat="1" applyFont="1" applyAlignment="1">
      <alignment horizontal="center"/>
    </xf>
    <xf numFmtId="17" fontId="6" fillId="0" borderId="3" xfId="0" applyNumberFormat="1" applyFont="1" applyBorder="1" applyAlignment="1">
      <alignment horizontal="right"/>
    </xf>
    <xf numFmtId="0" fontId="2" fillId="0" borderId="0" xfId="0" applyFont="1"/>
    <xf numFmtId="0" fontId="3" fillId="0" borderId="0" xfId="0" applyFont="1"/>
    <xf numFmtId="0" fontId="6" fillId="0" borderId="1" xfId="0" applyFont="1" applyBorder="1" applyAlignment="1">
      <alignment horizontal="right" wrapText="1"/>
    </xf>
    <xf numFmtId="165" fontId="6" fillId="0" borderId="3" xfId="2" applyNumberFormat="1" applyFont="1" applyBorder="1" applyAlignment="1">
      <alignment horizontal="right" wrapText="1"/>
    </xf>
    <xf numFmtId="0" fontId="7" fillId="0" borderId="0" xfId="0" applyFont="1" applyAlignment="1">
      <alignment horizontal="left"/>
    </xf>
    <xf numFmtId="0" fontId="7" fillId="0" borderId="0" xfId="0" applyFont="1"/>
    <xf numFmtId="164" fontId="9" fillId="0" borderId="0" xfId="1" applyNumberFormat="1" applyFont="1"/>
    <xf numFmtId="9" fontId="2" fillId="0" borderId="0" xfId="3" applyFont="1"/>
    <xf numFmtId="9" fontId="4" fillId="0" borderId="0" xfId="3" applyFont="1" applyAlignment="1">
      <alignment horizontal="center"/>
    </xf>
    <xf numFmtId="9" fontId="6" fillId="0" borderId="1" xfId="3" applyFont="1" applyBorder="1" applyAlignment="1">
      <alignment horizontal="right"/>
    </xf>
    <xf numFmtId="9" fontId="5" fillId="0" borderId="0" xfId="3" applyFont="1" applyAlignment="1">
      <alignment horizontal="center"/>
    </xf>
    <xf numFmtId="9" fontId="5" fillId="0" borderId="0" xfId="3" applyFont="1"/>
    <xf numFmtId="9" fontId="0" fillId="0" borderId="0" xfId="3" applyFont="1"/>
    <xf numFmtId="10" fontId="1" fillId="0" borderId="0" xfId="3" applyNumberFormat="1" applyAlignment="1">
      <alignment horizontal="center"/>
    </xf>
    <xf numFmtId="0" fontId="23" fillId="0" borderId="0" xfId="0" applyFont="1" applyAlignment="1">
      <alignment horizontal="center"/>
    </xf>
    <xf numFmtId="164" fontId="8" fillId="0" borderId="0" xfId="0" applyNumberFormat="1" applyFont="1" applyAlignment="1">
      <alignment horizontal="center"/>
    </xf>
    <xf numFmtId="0" fontId="6" fillId="0" borderId="3" xfId="0" applyFont="1" applyBorder="1" applyAlignment="1">
      <alignment horizontal="center"/>
    </xf>
    <xf numFmtId="164" fontId="9" fillId="0" borderId="0" xfId="0" applyNumberFormat="1" applyFont="1" applyAlignment="1">
      <alignment horizontal="center"/>
    </xf>
    <xf numFmtId="164" fontId="6" fillId="0" borderId="3" xfId="0" applyNumberFormat="1" applyFont="1" applyBorder="1" applyAlignment="1">
      <alignment horizontal="center"/>
    </xf>
    <xf numFmtId="165" fontId="9" fillId="0" borderId="0" xfId="0" applyNumberFormat="1" applyFont="1"/>
    <xf numFmtId="164" fontId="9" fillId="0" borderId="0" xfId="0" applyNumberFormat="1" applyFont="1"/>
    <xf numFmtId="165" fontId="9" fillId="2" borderId="2" xfId="0" applyNumberFormat="1" applyFont="1" applyFill="1" applyBorder="1"/>
    <xf numFmtId="0" fontId="25" fillId="0" borderId="0" xfId="0" applyFont="1"/>
    <xf numFmtId="164" fontId="25" fillId="0" borderId="0" xfId="1" applyNumberFormat="1" applyFont="1"/>
    <xf numFmtId="164" fontId="25" fillId="0" borderId="0" xfId="0" applyNumberFormat="1" applyFont="1"/>
    <xf numFmtId="9" fontId="25" fillId="0" borderId="0" xfId="3" applyFont="1"/>
    <xf numFmtId="0" fontId="10" fillId="2" borderId="0" xfId="0" applyFont="1" applyFill="1" applyAlignment="1">
      <alignment horizontal="right"/>
    </xf>
    <xf numFmtId="0" fontId="5" fillId="2" borderId="0" xfId="0" applyFont="1" applyFill="1"/>
    <xf numFmtId="164" fontId="8" fillId="2" borderId="0" xfId="1" applyNumberFormat="1" applyFont="1" applyFill="1"/>
    <xf numFmtId="164" fontId="5" fillId="2" borderId="0" xfId="2" applyNumberFormat="1" applyFont="1" applyFill="1"/>
    <xf numFmtId="9" fontId="5" fillId="2" borderId="0" xfId="3" applyFont="1" applyFill="1"/>
    <xf numFmtId="164" fontId="8" fillId="2" borderId="0" xfId="0" applyNumberFormat="1" applyFont="1" applyFill="1"/>
    <xf numFmtId="166" fontId="5" fillId="2" borderId="0" xfId="3" applyNumberFormat="1" applyFont="1" applyFill="1"/>
    <xf numFmtId="0" fontId="6" fillId="2" borderId="0" xfId="0" applyFont="1" applyFill="1"/>
    <xf numFmtId="164" fontId="24" fillId="2" borderId="0" xfId="2" applyNumberFormat="1" applyFont="1" applyFill="1"/>
    <xf numFmtId="9" fontId="24" fillId="2" borderId="0" xfId="3" applyFont="1" applyFill="1"/>
    <xf numFmtId="164" fontId="6" fillId="2" borderId="0" xfId="0" applyNumberFormat="1" applyFont="1" applyFill="1"/>
    <xf numFmtId="166" fontId="24" fillId="2" borderId="0" xfId="3" applyNumberFormat="1" applyFont="1" applyFill="1"/>
    <xf numFmtId="0" fontId="8" fillId="2" borderId="0" xfId="0" applyFont="1" applyFill="1"/>
    <xf numFmtId="0" fontId="17" fillId="2" borderId="0" xfId="0" applyFont="1" applyFill="1" applyAlignment="1">
      <alignment horizontal="right"/>
    </xf>
    <xf numFmtId="165" fontId="8" fillId="2" borderId="0" xfId="0" applyNumberFormat="1" applyFont="1" applyFill="1"/>
    <xf numFmtId="0" fontId="9" fillId="2" borderId="2" xfId="0" applyFont="1" applyFill="1" applyBorder="1"/>
    <xf numFmtId="0" fontId="9" fillId="2" borderId="0" xfId="0" applyFont="1" applyFill="1"/>
    <xf numFmtId="165" fontId="9" fillId="2" borderId="0" xfId="0" applyNumberFormat="1" applyFont="1" applyFill="1"/>
    <xf numFmtId="44" fontId="25" fillId="0" borderId="0" xfId="2" applyFont="1"/>
    <xf numFmtId="0" fontId="19" fillId="0" borderId="0" xfId="0" applyFont="1" applyAlignment="1">
      <alignment horizontal="center"/>
    </xf>
    <xf numFmtId="44" fontId="18" fillId="2" borderId="0" xfId="2" applyFont="1" applyFill="1"/>
    <xf numFmtId="0" fontId="8" fillId="0" borderId="2" xfId="0" applyFont="1" applyFill="1" applyBorder="1"/>
    <xf numFmtId="0" fontId="9" fillId="2" borderId="2" xfId="0" applyFont="1" applyFill="1" applyBorder="1" applyAlignment="1">
      <alignment horizontal="right" wrapText="1"/>
    </xf>
    <xf numFmtId="0" fontId="11" fillId="2" borderId="0" xfId="0" applyFont="1" applyFill="1" applyAlignment="1">
      <alignment horizontal="right"/>
    </xf>
    <xf numFmtId="0" fontId="0" fillId="2" borderId="0" xfId="0" applyFill="1"/>
    <xf numFmtId="164" fontId="5" fillId="0" borderId="0" xfId="2" applyNumberFormat="1" applyFont="1" applyAlignment="1">
      <alignment horizontal="right"/>
    </xf>
    <xf numFmtId="9" fontId="5" fillId="0" borderId="0" xfId="3" applyFont="1" applyAlignment="1">
      <alignment horizontal="right"/>
    </xf>
    <xf numFmtId="164" fontId="8" fillId="0" borderId="0" xfId="0" applyNumberFormat="1" applyFont="1" applyAlignment="1">
      <alignment horizontal="right"/>
    </xf>
    <xf numFmtId="166" fontId="5" fillId="0" borderId="0" xfId="3" applyNumberFormat="1" applyFont="1" applyAlignment="1">
      <alignment horizontal="right"/>
    </xf>
    <xf numFmtId="0" fontId="25" fillId="0" borderId="0" xfId="0" applyFont="1" applyFill="1" applyAlignment="1">
      <alignment horizontal="center" vertical="center"/>
    </xf>
    <xf numFmtId="0" fontId="25" fillId="2" borderId="0" xfId="0" applyFont="1" applyFill="1"/>
    <xf numFmtId="164" fontId="25" fillId="2" borderId="0" xfId="0" applyNumberFormat="1" applyFont="1" applyFill="1"/>
  </cellXfs>
  <cellStyles count="11">
    <cellStyle name="Comma" xfId="1" builtinId="3"/>
    <cellStyle name="Comma 2" xfId="4" xr:uid="{00000000-0005-0000-0000-000001000000}"/>
    <cellStyle name="Comma0" xfId="5" xr:uid="{00000000-0005-0000-0000-000002000000}"/>
    <cellStyle name="Currency" xfId="2" builtinId="4"/>
    <cellStyle name="Currency 2" xfId="6" xr:uid="{00000000-0005-0000-0000-000004000000}"/>
    <cellStyle name="Currency0" xfId="7" xr:uid="{00000000-0005-0000-0000-000005000000}"/>
    <cellStyle name="Date" xfId="8" xr:uid="{00000000-0005-0000-0000-000006000000}"/>
    <cellStyle name="Fixed" xfId="9" xr:uid="{00000000-0005-0000-0000-000007000000}"/>
    <cellStyle name="Normal" xfId="0" builtinId="0"/>
    <cellStyle name="Normal 2" xfId="10" xr:uid="{00000000-0005-0000-0000-000009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Growth Chart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'Sales and Assumptions'!$A$46:$B$50</c:f>
              <c:multiLvlStrCache>
                <c:ptCount val="5"/>
                <c:lvl>
                  <c:pt idx="0">
                    <c:v>base year</c:v>
                  </c:pt>
                  <c:pt idx="1">
                    <c:v>15% growth in all revenue streams</c:v>
                  </c:pt>
                  <c:pt idx="2">
                    <c:v>13% growth in all revenue streams</c:v>
                  </c:pt>
                  <c:pt idx="3">
                    <c:v>8% growth in all revenue streams</c:v>
                  </c:pt>
                  <c:pt idx="4">
                    <c:v>5% growth in all revenue streams</c:v>
                  </c:pt>
                </c:lvl>
                <c:lvl>
                  <c:pt idx="0">
                    <c:v>Year 1:</c:v>
                  </c:pt>
                  <c:pt idx="1">
                    <c:v>Year 2:</c:v>
                  </c:pt>
                  <c:pt idx="2">
                    <c:v>Year 3:</c:v>
                  </c:pt>
                  <c:pt idx="3">
                    <c:v>Year 4:</c:v>
                  </c:pt>
                  <c:pt idx="4">
                    <c:v>Year 5:</c:v>
                  </c:pt>
                </c:lvl>
              </c:multiLvlStrCache>
            </c:multiLvlStrRef>
          </c:cat>
          <c:val>
            <c:numRef>
              <c:f>'Sales and Assumptions'!$C$46:$C$50</c:f>
              <c:numCache>
                <c:formatCode>General</c:formatCode>
                <c:ptCount val="5"/>
              </c:numCache>
            </c:numRef>
          </c:val>
          <c:extLst>
            <c:ext xmlns:c16="http://schemas.microsoft.com/office/drawing/2014/chart" uri="{C3380CC4-5D6E-409C-BE32-E72D297353CC}">
              <c16:uniqueId val="{00000000-C46A-5748-B486-DB4751B77922}"/>
            </c:ext>
          </c:extLst>
        </c:ser>
        <c: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'Sales and Assumptions'!$A$46:$B$50</c:f>
              <c:multiLvlStrCache>
                <c:ptCount val="5"/>
                <c:lvl>
                  <c:pt idx="0">
                    <c:v>base year</c:v>
                  </c:pt>
                  <c:pt idx="1">
                    <c:v>15% growth in all revenue streams</c:v>
                  </c:pt>
                  <c:pt idx="2">
                    <c:v>13% growth in all revenue streams</c:v>
                  </c:pt>
                  <c:pt idx="3">
                    <c:v>8% growth in all revenue streams</c:v>
                  </c:pt>
                  <c:pt idx="4">
                    <c:v>5% growth in all revenue streams</c:v>
                  </c:pt>
                </c:lvl>
                <c:lvl>
                  <c:pt idx="0">
                    <c:v>Year 1:</c:v>
                  </c:pt>
                  <c:pt idx="1">
                    <c:v>Year 2:</c:v>
                  </c:pt>
                  <c:pt idx="2">
                    <c:v>Year 3:</c:v>
                  </c:pt>
                  <c:pt idx="3">
                    <c:v>Year 4:</c:v>
                  </c:pt>
                  <c:pt idx="4">
                    <c:v>Year 5:</c:v>
                  </c:pt>
                </c:lvl>
              </c:multiLvlStrCache>
            </c:multiLvlStrRef>
          </c:cat>
          <c:val>
            <c:numRef>
              <c:f>'Sales and Assumptions'!$D$46:$D$50</c:f>
              <c:numCache>
                <c:formatCode>General</c:formatCode>
                <c:ptCount val="5"/>
              </c:numCache>
            </c:numRef>
          </c:val>
          <c:extLst>
            <c:ext xmlns:c16="http://schemas.microsoft.com/office/drawing/2014/chart" uri="{C3380CC4-5D6E-409C-BE32-E72D297353CC}">
              <c16:uniqueId val="{00000001-C46A-5748-B486-DB4751B77922}"/>
            </c:ext>
          </c:extLst>
        </c:ser>
        <c:ser>
          <c:idx val="2"/>
          <c:order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'Sales and Assumptions'!$A$46:$B$50</c:f>
              <c:multiLvlStrCache>
                <c:ptCount val="5"/>
                <c:lvl>
                  <c:pt idx="0">
                    <c:v>base year</c:v>
                  </c:pt>
                  <c:pt idx="1">
                    <c:v>15% growth in all revenue streams</c:v>
                  </c:pt>
                  <c:pt idx="2">
                    <c:v>13% growth in all revenue streams</c:v>
                  </c:pt>
                  <c:pt idx="3">
                    <c:v>8% growth in all revenue streams</c:v>
                  </c:pt>
                  <c:pt idx="4">
                    <c:v>5% growth in all revenue streams</c:v>
                  </c:pt>
                </c:lvl>
                <c:lvl>
                  <c:pt idx="0">
                    <c:v>Year 1:</c:v>
                  </c:pt>
                  <c:pt idx="1">
                    <c:v>Year 2:</c:v>
                  </c:pt>
                  <c:pt idx="2">
                    <c:v>Year 3:</c:v>
                  </c:pt>
                  <c:pt idx="3">
                    <c:v>Year 4:</c:v>
                  </c:pt>
                  <c:pt idx="4">
                    <c:v>Year 5:</c:v>
                  </c:pt>
                </c:lvl>
              </c:multiLvlStrCache>
            </c:multiLvlStrRef>
          </c:cat>
          <c:val>
            <c:numRef>
              <c:f>'Sales and Assumptions'!$E$46:$E$50</c:f>
              <c:numCache>
                <c:formatCode>General</c:formatCode>
                <c:ptCount val="5"/>
                <c:pt idx="1">
                  <c:v>15</c:v>
                </c:pt>
                <c:pt idx="2">
                  <c:v>13</c:v>
                </c:pt>
                <c:pt idx="3">
                  <c:v>8</c:v>
                </c:pt>
                <c:pt idx="4">
                  <c:v>5</c:v>
                </c:pt>
              </c:numCache>
            </c:numRef>
          </c:val>
          <c:extLst>
            <c:ext xmlns:c16="http://schemas.microsoft.com/office/drawing/2014/chart" uri="{C3380CC4-5D6E-409C-BE32-E72D297353CC}">
              <c16:uniqueId val="{00000002-C46A-5748-B486-DB4751B77922}"/>
            </c:ext>
          </c:extLst>
        </c:ser>
        <c:dLbls>
          <c:dLblPos val="outEnd"/>
          <c:showLegendKey val="0"/>
          <c:showVal val="1"/>
          <c:showCatName val="0"/>
          <c:showSerName val="0"/>
          <c:showPercent val="0"/>
          <c:showBubbleSize val="0"/>
        </c:dLbls>
        <c:gapWidth val="100"/>
        <c:overlap val="-24"/>
        <c:axId val="483878063"/>
        <c:axId val="483878463"/>
      </c:barChart>
      <c:catAx>
        <c:axId val="4838780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3878463"/>
        <c:crosses val="autoZero"/>
        <c:auto val="1"/>
        <c:lblAlgn val="ctr"/>
        <c:lblOffset val="100"/>
        <c:noMultiLvlLbl val="0"/>
      </c:catAx>
      <c:valAx>
        <c:axId val="483878463"/>
        <c:scaling>
          <c:orientation val="minMax"/>
          <c:max val="15"/>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387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Growth Chart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'Sales and Assumptions copy'!$A$46:$B$50</c:f>
              <c:multiLvlStrCache>
                <c:ptCount val="5"/>
                <c:lvl>
                  <c:pt idx="0">
                    <c:v>base year</c:v>
                  </c:pt>
                  <c:pt idx="1">
                    <c:v>15% growth in all revenue streams</c:v>
                  </c:pt>
                  <c:pt idx="2">
                    <c:v>13% growth in all revenue streams</c:v>
                  </c:pt>
                  <c:pt idx="3">
                    <c:v>8% growth in all revenue streams</c:v>
                  </c:pt>
                  <c:pt idx="4">
                    <c:v>5% growth in all revenue streams</c:v>
                  </c:pt>
                </c:lvl>
                <c:lvl>
                  <c:pt idx="0">
                    <c:v>Year 1:</c:v>
                  </c:pt>
                  <c:pt idx="1">
                    <c:v>Year 2:</c:v>
                  </c:pt>
                  <c:pt idx="2">
                    <c:v>Year 3:</c:v>
                  </c:pt>
                  <c:pt idx="3">
                    <c:v>Year 4:</c:v>
                  </c:pt>
                  <c:pt idx="4">
                    <c:v>Year 5:</c:v>
                  </c:pt>
                </c:lvl>
              </c:multiLvlStrCache>
            </c:multiLvlStrRef>
          </c:cat>
          <c:val>
            <c:numRef>
              <c:f>'Sales and Assumptions copy'!$C$46:$C$50</c:f>
              <c:numCache>
                <c:formatCode>General</c:formatCode>
                <c:ptCount val="5"/>
              </c:numCache>
            </c:numRef>
          </c:val>
          <c:extLst>
            <c:ext xmlns:c16="http://schemas.microsoft.com/office/drawing/2014/chart" uri="{C3380CC4-5D6E-409C-BE32-E72D297353CC}">
              <c16:uniqueId val="{00000000-57AF-C242-93E6-C55A273FE8A6}"/>
            </c:ext>
          </c:extLst>
        </c:ser>
        <c: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'Sales and Assumptions copy'!$A$46:$B$50</c:f>
              <c:multiLvlStrCache>
                <c:ptCount val="5"/>
                <c:lvl>
                  <c:pt idx="0">
                    <c:v>base year</c:v>
                  </c:pt>
                  <c:pt idx="1">
                    <c:v>15% growth in all revenue streams</c:v>
                  </c:pt>
                  <c:pt idx="2">
                    <c:v>13% growth in all revenue streams</c:v>
                  </c:pt>
                  <c:pt idx="3">
                    <c:v>8% growth in all revenue streams</c:v>
                  </c:pt>
                  <c:pt idx="4">
                    <c:v>5% growth in all revenue streams</c:v>
                  </c:pt>
                </c:lvl>
                <c:lvl>
                  <c:pt idx="0">
                    <c:v>Year 1:</c:v>
                  </c:pt>
                  <c:pt idx="1">
                    <c:v>Year 2:</c:v>
                  </c:pt>
                  <c:pt idx="2">
                    <c:v>Year 3:</c:v>
                  </c:pt>
                  <c:pt idx="3">
                    <c:v>Year 4:</c:v>
                  </c:pt>
                  <c:pt idx="4">
                    <c:v>Year 5:</c:v>
                  </c:pt>
                </c:lvl>
              </c:multiLvlStrCache>
            </c:multiLvlStrRef>
          </c:cat>
          <c:val>
            <c:numRef>
              <c:f>'Sales and Assumptions copy'!$D$46:$D$50</c:f>
              <c:numCache>
                <c:formatCode>General</c:formatCode>
                <c:ptCount val="5"/>
              </c:numCache>
            </c:numRef>
          </c:val>
          <c:extLst>
            <c:ext xmlns:c16="http://schemas.microsoft.com/office/drawing/2014/chart" uri="{C3380CC4-5D6E-409C-BE32-E72D297353CC}">
              <c16:uniqueId val="{00000001-57AF-C242-93E6-C55A273FE8A6}"/>
            </c:ext>
          </c:extLst>
        </c:ser>
        <c:ser>
          <c:idx val="2"/>
          <c:order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'Sales and Assumptions copy'!$A$46:$B$50</c:f>
              <c:multiLvlStrCache>
                <c:ptCount val="5"/>
                <c:lvl>
                  <c:pt idx="0">
                    <c:v>base year</c:v>
                  </c:pt>
                  <c:pt idx="1">
                    <c:v>15% growth in all revenue streams</c:v>
                  </c:pt>
                  <c:pt idx="2">
                    <c:v>13% growth in all revenue streams</c:v>
                  </c:pt>
                  <c:pt idx="3">
                    <c:v>8% growth in all revenue streams</c:v>
                  </c:pt>
                  <c:pt idx="4">
                    <c:v>5% growth in all revenue streams</c:v>
                  </c:pt>
                </c:lvl>
                <c:lvl>
                  <c:pt idx="0">
                    <c:v>Year 1:</c:v>
                  </c:pt>
                  <c:pt idx="1">
                    <c:v>Year 2:</c:v>
                  </c:pt>
                  <c:pt idx="2">
                    <c:v>Year 3:</c:v>
                  </c:pt>
                  <c:pt idx="3">
                    <c:v>Year 4:</c:v>
                  </c:pt>
                  <c:pt idx="4">
                    <c:v>Year 5:</c:v>
                  </c:pt>
                </c:lvl>
              </c:multiLvlStrCache>
            </c:multiLvlStrRef>
          </c:cat>
          <c:val>
            <c:numRef>
              <c:f>'Sales and Assumptions copy'!$E$46:$E$50</c:f>
              <c:numCache>
                <c:formatCode>General</c:formatCode>
                <c:ptCount val="5"/>
                <c:pt idx="1">
                  <c:v>15</c:v>
                </c:pt>
                <c:pt idx="2">
                  <c:v>13</c:v>
                </c:pt>
                <c:pt idx="3">
                  <c:v>8</c:v>
                </c:pt>
                <c:pt idx="4">
                  <c:v>5</c:v>
                </c:pt>
              </c:numCache>
            </c:numRef>
          </c:val>
          <c:extLst>
            <c:ext xmlns:c16="http://schemas.microsoft.com/office/drawing/2014/chart" uri="{C3380CC4-5D6E-409C-BE32-E72D297353CC}">
              <c16:uniqueId val="{00000002-57AF-C242-93E6-C55A273FE8A6}"/>
            </c:ext>
          </c:extLst>
        </c:ser>
        <c:dLbls>
          <c:dLblPos val="outEnd"/>
          <c:showLegendKey val="0"/>
          <c:showVal val="1"/>
          <c:showCatName val="0"/>
          <c:showSerName val="0"/>
          <c:showPercent val="0"/>
          <c:showBubbleSize val="0"/>
        </c:dLbls>
        <c:gapWidth val="100"/>
        <c:overlap val="-24"/>
        <c:axId val="483878063"/>
        <c:axId val="483878463"/>
      </c:barChart>
      <c:catAx>
        <c:axId val="4838780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3878463"/>
        <c:crosses val="autoZero"/>
        <c:auto val="1"/>
        <c:lblAlgn val="ctr"/>
        <c:lblOffset val="100"/>
        <c:noMultiLvlLbl val="0"/>
      </c:catAx>
      <c:valAx>
        <c:axId val="483878463"/>
        <c:scaling>
          <c:orientation val="minMax"/>
          <c:max val="15"/>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387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591037</xdr:colOff>
      <xdr:row>38</xdr:row>
      <xdr:rowOff>9768</xdr:rowOff>
    </xdr:from>
    <xdr:to>
      <xdr:col>16</xdr:col>
      <xdr:colOff>224692</xdr:colOff>
      <xdr:row>56</xdr:row>
      <xdr:rowOff>91830</xdr:rowOff>
    </xdr:to>
    <xdr:graphicFrame macro="">
      <xdr:nvGraphicFramePr>
        <xdr:cNvPr id="4" name="Chart 3">
          <a:extLst>
            <a:ext uri="{FF2B5EF4-FFF2-40B4-BE49-F238E27FC236}">
              <a16:creationId xmlns:a16="http://schemas.microsoft.com/office/drawing/2014/main" id="{614AA2D8-E24D-7845-82F6-4B3C7C07A8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591037</xdr:colOff>
      <xdr:row>38</xdr:row>
      <xdr:rowOff>9768</xdr:rowOff>
    </xdr:from>
    <xdr:to>
      <xdr:col>16</xdr:col>
      <xdr:colOff>224692</xdr:colOff>
      <xdr:row>56</xdr:row>
      <xdr:rowOff>91830</xdr:rowOff>
    </xdr:to>
    <xdr:graphicFrame macro="">
      <xdr:nvGraphicFramePr>
        <xdr:cNvPr id="2" name="Chart 1">
          <a:extLst>
            <a:ext uri="{FF2B5EF4-FFF2-40B4-BE49-F238E27FC236}">
              <a16:creationId xmlns:a16="http://schemas.microsoft.com/office/drawing/2014/main" id="{29A14A2A-6222-3849-8757-9C1884840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C90"/>
  <sheetViews>
    <sheetView showGridLines="0" zoomScale="145" zoomScaleNormal="145" zoomScaleSheetLayoutView="100" zoomScalePageLayoutView="30" workbookViewId="0">
      <pane xSplit="2" ySplit="6" topLeftCell="C29" activePane="bottomRight" state="frozen"/>
      <selection pane="topRight" activeCell="C1" sqref="C1"/>
      <selection pane="bottomLeft" activeCell="A7" sqref="A7"/>
      <selection pane="bottomRight" activeCell="E57" sqref="E57"/>
    </sheetView>
  </sheetViews>
  <sheetFormatPr baseColWidth="10" defaultColWidth="11.5" defaultRowHeight="13" outlineLevelRow="2" outlineLevelCol="1" x14ac:dyDescent="0.15"/>
  <cols>
    <col min="1" max="1" width="29.5" customWidth="1"/>
    <col min="2" max="2" width="1" customWidth="1"/>
    <col min="3" max="3" width="10.83203125" customWidth="1" outlineLevel="1"/>
    <col min="4" max="4" width="7" style="20" customWidth="1" outlineLevel="1"/>
    <col min="5" max="5" width="10.83203125" customWidth="1" outlineLevel="1"/>
    <col min="6" max="6" width="6.1640625" style="20" customWidth="1" outlineLevel="1"/>
    <col min="7" max="7" width="10.83203125" customWidth="1" outlineLevel="1"/>
    <col min="8" max="8" width="6.1640625" style="20" customWidth="1" outlineLevel="1"/>
    <col min="9" max="9" width="10.83203125" customWidth="1" outlineLevel="1"/>
    <col min="10" max="10" width="6.1640625" style="20" customWidth="1" outlineLevel="1"/>
    <col min="11" max="11" width="10.83203125" customWidth="1" outlineLevel="1"/>
    <col min="12" max="12" width="6.1640625" style="20" customWidth="1" outlineLevel="1"/>
    <col min="13" max="13" width="10.83203125" customWidth="1" outlineLevel="1"/>
    <col min="14" max="14" width="6.1640625" style="20" customWidth="1" outlineLevel="1"/>
    <col min="15" max="15" width="9.83203125" customWidth="1" outlineLevel="1"/>
    <col min="16" max="16" width="6.1640625" style="20" customWidth="1" outlineLevel="1"/>
    <col min="17" max="17" width="10.83203125" customWidth="1" outlineLevel="1"/>
    <col min="18" max="18" width="6.1640625" style="20" customWidth="1" outlineLevel="1"/>
    <col min="19" max="19" width="9.83203125" customWidth="1" outlineLevel="1"/>
    <col min="20" max="20" width="6.1640625" style="20" customWidth="1" outlineLevel="1"/>
    <col min="21" max="21" width="9.83203125" customWidth="1" outlineLevel="1"/>
    <col min="22" max="22" width="6.1640625" style="20" customWidth="1" outlineLevel="1"/>
    <col min="23" max="23" width="9.83203125" customWidth="1" outlineLevel="1"/>
    <col min="24" max="24" width="6.1640625" style="20" customWidth="1" outlineLevel="1"/>
    <col min="25" max="25" width="8.33203125" customWidth="1" outlineLevel="1"/>
    <col min="26" max="26" width="6.1640625" style="20" customWidth="1" outlineLevel="1"/>
    <col min="27" max="27" width="9.6640625" style="22" bestFit="1" customWidth="1"/>
    <col min="28" max="28" width="6.1640625" style="20" bestFit="1" customWidth="1"/>
    <col min="29" max="29" width="9" hidden="1" customWidth="1" outlineLevel="1"/>
    <col min="30" max="30" width="6.1640625" style="20" hidden="1" customWidth="1" outlineLevel="1"/>
    <col min="31" max="31" width="9.1640625" hidden="1" customWidth="1" outlineLevel="1"/>
    <col min="32" max="32" width="6.1640625" style="20" hidden="1" customWidth="1" outlineLevel="1"/>
    <col min="33" max="33" width="9.5" hidden="1" customWidth="1" outlineLevel="1"/>
    <col min="34" max="34" width="6.1640625" style="20" hidden="1" customWidth="1" outlineLevel="1"/>
    <col min="35" max="35" width="9.1640625" hidden="1" customWidth="1" outlineLevel="1"/>
    <col min="36" max="36" width="6.1640625" style="20" hidden="1" customWidth="1" outlineLevel="1"/>
    <col min="37" max="37" width="9.1640625" hidden="1" customWidth="1" outlineLevel="1"/>
    <col min="38" max="38" width="6.1640625" style="20" hidden="1" customWidth="1" outlineLevel="1"/>
    <col min="39" max="39" width="7.5" style="21" hidden="1" customWidth="1" outlineLevel="1"/>
    <col min="40" max="40" width="9" hidden="1" customWidth="1" outlineLevel="1"/>
    <col min="41" max="41" width="6.1640625" style="20" hidden="1" customWidth="1" outlineLevel="1"/>
    <col min="42" max="42" width="9" hidden="1" customWidth="1" outlineLevel="1"/>
    <col min="43" max="43" width="6.1640625" style="20" hidden="1" customWidth="1" outlineLevel="1"/>
    <col min="44" max="44" width="9" hidden="1" customWidth="1" outlineLevel="1"/>
    <col min="45" max="45" width="6.1640625" style="20" hidden="1" customWidth="1" outlineLevel="1"/>
    <col min="46" max="46" width="9" hidden="1" customWidth="1" outlineLevel="1"/>
    <col min="47" max="47" width="6.1640625" style="20" hidden="1" customWidth="1" outlineLevel="1"/>
    <col min="48" max="48" width="9" hidden="1" customWidth="1" outlineLevel="1"/>
    <col min="49" max="49" width="6.1640625" style="20" hidden="1" customWidth="1" outlineLevel="1"/>
    <col min="50" max="50" width="9" hidden="1" customWidth="1" outlineLevel="1"/>
    <col min="51" max="51" width="6.1640625" style="20" hidden="1" customWidth="1" outlineLevel="1"/>
    <col min="52" max="52" width="9" hidden="1" customWidth="1" outlineLevel="1"/>
    <col min="53" max="53" width="6.1640625" style="20" hidden="1" customWidth="1" outlineLevel="1"/>
    <col min="54" max="54" width="0" style="13" hidden="1" customWidth="1" collapsed="1"/>
    <col min="55" max="55" width="6.1640625" style="20" hidden="1" customWidth="1"/>
  </cols>
  <sheetData>
    <row r="1" spans="1:55" s="17" customFormat="1" ht="24" x14ac:dyDescent="0.25">
      <c r="A1" s="69" t="s">
        <v>126</v>
      </c>
      <c r="B1" s="69"/>
      <c r="C1" s="69"/>
      <c r="D1" s="18"/>
      <c r="E1" s="69"/>
      <c r="F1" s="18"/>
      <c r="G1" s="69"/>
      <c r="H1" s="18"/>
      <c r="I1" s="69"/>
      <c r="J1" s="18"/>
      <c r="K1" s="69"/>
      <c r="L1" s="18"/>
      <c r="M1" s="69"/>
      <c r="N1" s="18"/>
      <c r="O1" s="69"/>
      <c r="P1" s="18"/>
      <c r="Q1" s="69"/>
      <c r="R1" s="18"/>
      <c r="S1" s="69"/>
      <c r="T1" s="18"/>
      <c r="U1" s="69"/>
      <c r="V1" s="18"/>
      <c r="W1" s="69"/>
      <c r="X1" s="18"/>
      <c r="Y1" s="69"/>
      <c r="Z1" s="18"/>
      <c r="AA1" s="69"/>
      <c r="AB1" s="18"/>
      <c r="AC1" s="69"/>
      <c r="AD1" s="18"/>
      <c r="AE1" s="69"/>
      <c r="AF1" s="18"/>
      <c r="AH1" s="18"/>
      <c r="AI1" s="69"/>
      <c r="AJ1" s="18"/>
      <c r="AK1" s="69"/>
      <c r="AL1" s="18"/>
      <c r="AM1" s="19"/>
      <c r="AN1" s="69"/>
      <c r="AO1" s="18"/>
      <c r="AP1" s="69"/>
      <c r="AQ1" s="18"/>
      <c r="AR1" s="69"/>
      <c r="AS1" s="18"/>
      <c r="AT1" s="69"/>
      <c r="AU1" s="18"/>
      <c r="AV1" s="69"/>
      <c r="AW1" s="18"/>
      <c r="AX1" s="69"/>
      <c r="AY1" s="18"/>
      <c r="AZ1" s="69"/>
      <c r="BA1" s="18"/>
      <c r="BB1" s="13"/>
      <c r="BC1" s="18"/>
    </row>
    <row r="2" spans="1:55" ht="16" x14ac:dyDescent="0.2">
      <c r="A2" s="70" t="s">
        <v>133</v>
      </c>
      <c r="B2" s="70"/>
      <c r="C2" s="70"/>
      <c r="E2" s="70"/>
      <c r="G2" s="70"/>
      <c r="I2" s="70"/>
      <c r="K2" s="70"/>
      <c r="M2" s="70"/>
      <c r="O2" s="70"/>
      <c r="Q2" s="70"/>
      <c r="S2" s="70"/>
      <c r="U2" s="70"/>
      <c r="W2" s="70"/>
      <c r="Y2" s="70"/>
      <c r="AA2" s="70"/>
      <c r="AC2" s="70"/>
      <c r="AE2" s="70"/>
      <c r="AI2" s="70"/>
      <c r="AK2" s="70"/>
      <c r="AN2" s="70"/>
      <c r="AP2" s="70"/>
      <c r="AR2" s="70"/>
      <c r="AT2" s="70"/>
      <c r="AV2" s="70"/>
      <c r="AX2" s="70"/>
      <c r="AZ2" s="70"/>
    </row>
    <row r="3" spans="1:55" x14ac:dyDescent="0.15">
      <c r="A3" s="1"/>
      <c r="B3" s="1"/>
      <c r="C3" s="1"/>
      <c r="E3" s="1"/>
      <c r="G3" s="1"/>
      <c r="I3" s="1"/>
      <c r="K3" s="1"/>
    </row>
    <row r="4" spans="1:55" x14ac:dyDescent="0.15">
      <c r="A4" s="3"/>
      <c r="B4" s="3"/>
      <c r="C4" s="23"/>
      <c r="E4" s="23"/>
      <c r="G4" s="24"/>
      <c r="I4" s="24"/>
      <c r="AI4" s="24"/>
      <c r="AK4" s="24"/>
      <c r="AN4" s="24"/>
      <c r="AP4" s="24"/>
      <c r="AR4" s="24"/>
      <c r="AT4" s="24"/>
      <c r="AV4" s="24"/>
      <c r="AX4" s="24"/>
      <c r="AZ4" s="24"/>
    </row>
    <row r="5" spans="1:55" s="6" customFormat="1" ht="28" x14ac:dyDescent="0.15">
      <c r="A5" s="4"/>
      <c r="B5" s="4"/>
      <c r="C5" s="68" t="s">
        <v>94</v>
      </c>
      <c r="D5" s="25"/>
      <c r="E5" s="68" t="s">
        <v>95</v>
      </c>
      <c r="F5" s="25"/>
      <c r="G5" s="68" t="s">
        <v>96</v>
      </c>
      <c r="H5" s="25"/>
      <c r="I5" s="68" t="s">
        <v>97</v>
      </c>
      <c r="J5" s="25"/>
      <c r="K5" s="68" t="s">
        <v>98</v>
      </c>
      <c r="L5" s="25"/>
      <c r="M5" s="68" t="s">
        <v>99</v>
      </c>
      <c r="N5" s="25"/>
      <c r="O5" s="68" t="s">
        <v>100</v>
      </c>
      <c r="P5" s="25"/>
      <c r="Q5" s="68" t="s">
        <v>101</v>
      </c>
      <c r="R5" s="25"/>
      <c r="S5" s="68" t="s">
        <v>102</v>
      </c>
      <c r="T5" s="25"/>
      <c r="U5" s="68" t="s">
        <v>103</v>
      </c>
      <c r="V5" s="25"/>
      <c r="W5" s="68" t="s">
        <v>104</v>
      </c>
      <c r="X5" s="25"/>
      <c r="Y5" s="68" t="s">
        <v>105</v>
      </c>
      <c r="Z5" s="25"/>
      <c r="AA5" s="72" t="s">
        <v>118</v>
      </c>
      <c r="AB5" s="25"/>
      <c r="AC5" s="68" t="s">
        <v>106</v>
      </c>
      <c r="AD5" s="25"/>
      <c r="AE5" s="68" t="s">
        <v>107</v>
      </c>
      <c r="AF5" s="25"/>
      <c r="AG5" s="68" t="s">
        <v>108</v>
      </c>
      <c r="AH5" s="25"/>
      <c r="AI5" s="68" t="s">
        <v>109</v>
      </c>
      <c r="AJ5" s="25"/>
      <c r="AK5" s="68" t="s">
        <v>110</v>
      </c>
      <c r="AL5" s="25"/>
      <c r="AM5" s="26"/>
      <c r="AN5" s="68" t="s">
        <v>111</v>
      </c>
      <c r="AO5" s="25"/>
      <c r="AP5" s="68" t="s">
        <v>112</v>
      </c>
      <c r="AQ5" s="25"/>
      <c r="AR5" s="68" t="s">
        <v>113</v>
      </c>
      <c r="AS5" s="25"/>
      <c r="AT5" s="68" t="s">
        <v>114</v>
      </c>
      <c r="AU5" s="25"/>
      <c r="AV5" s="68" t="s">
        <v>115</v>
      </c>
      <c r="AW5" s="25"/>
      <c r="AX5" s="68" t="s">
        <v>116</v>
      </c>
      <c r="AY5" s="25"/>
      <c r="AZ5" s="68" t="s">
        <v>117</v>
      </c>
      <c r="BA5" s="25"/>
      <c r="BB5" s="85" t="s">
        <v>120</v>
      </c>
      <c r="BC5" s="25"/>
    </row>
    <row r="6" spans="1:55" s="6" customFormat="1" x14ac:dyDescent="0.15">
      <c r="A6" s="27" t="s">
        <v>4</v>
      </c>
      <c r="B6" s="4"/>
      <c r="C6" s="28">
        <v>9.0899999999999995E-2</v>
      </c>
      <c r="D6" s="83"/>
      <c r="E6" s="28">
        <v>9.3100000000000002E-2</v>
      </c>
      <c r="F6" s="83"/>
      <c r="G6" s="28">
        <v>9.3100000000000002E-2</v>
      </c>
      <c r="H6" s="83"/>
      <c r="I6" s="28">
        <v>7.3099999999999998E-2</v>
      </c>
      <c r="J6" s="83"/>
      <c r="K6" s="28">
        <v>7.8100000000000003E-2</v>
      </c>
      <c r="L6" s="83"/>
      <c r="M6" s="28">
        <v>7.8100000000000003E-2</v>
      </c>
      <c r="N6" s="83"/>
      <c r="O6" s="28">
        <v>7.8100000000000003E-2</v>
      </c>
      <c r="P6" s="83"/>
      <c r="Q6" s="28">
        <v>7.8100000000000003E-2</v>
      </c>
      <c r="R6" s="83"/>
      <c r="S6" s="28">
        <v>8.3099999999999993E-2</v>
      </c>
      <c r="T6" s="83"/>
      <c r="U6" s="28">
        <v>8.3099999999999993E-2</v>
      </c>
      <c r="V6" s="83"/>
      <c r="W6" s="28">
        <v>8.5599999999999996E-2</v>
      </c>
      <c r="X6" s="83"/>
      <c r="Y6" s="28">
        <v>8.5599999999999996E-2</v>
      </c>
      <c r="Z6" s="83"/>
      <c r="AA6" s="67">
        <f>SUM(C6:Y6)</f>
        <v>1</v>
      </c>
      <c r="AB6" s="25"/>
      <c r="AC6" s="82"/>
      <c r="AD6" s="25"/>
      <c r="AE6" s="82"/>
      <c r="AF6" s="25"/>
      <c r="AG6" s="82"/>
      <c r="AH6" s="25"/>
      <c r="AI6" s="82"/>
      <c r="AJ6" s="25"/>
      <c r="AK6" s="82"/>
      <c r="AL6" s="25"/>
      <c r="AM6" s="82"/>
      <c r="AN6" s="82"/>
      <c r="AO6" s="25"/>
      <c r="AP6" s="82"/>
      <c r="AQ6" s="25"/>
      <c r="AR6" s="82"/>
      <c r="AS6" s="25"/>
      <c r="AT6" s="82"/>
      <c r="AU6" s="25"/>
      <c r="AV6" s="82"/>
      <c r="AW6" s="25"/>
      <c r="AX6" s="82"/>
      <c r="AY6" s="25"/>
      <c r="AZ6" s="82"/>
      <c r="BA6" s="25"/>
      <c r="BB6" s="8"/>
      <c r="BC6" s="25"/>
    </row>
    <row r="7" spans="1:55" s="6" customFormat="1" hidden="1" outlineLevel="1" x14ac:dyDescent="0.15">
      <c r="A7" s="3" t="s">
        <v>70</v>
      </c>
      <c r="B7" s="3"/>
      <c r="C7" s="12">
        <f>C6*$AA$7</f>
        <v>55630.799999999996</v>
      </c>
      <c r="D7" s="30">
        <f>C7/$C$19</f>
        <v>6.6230497676272232E-2</v>
      </c>
      <c r="E7" s="12">
        <f>E6*$AA$7</f>
        <v>56977.200000000004</v>
      </c>
      <c r="F7" s="30">
        <f>E7/$E$19</f>
        <v>6.4448281066647642E-2</v>
      </c>
      <c r="G7" s="12">
        <f>G6*$AA$7</f>
        <v>56977.200000000004</v>
      </c>
      <c r="H7" s="30">
        <f>G7/$G$19</f>
        <v>6.2675924920083045E-2</v>
      </c>
      <c r="I7" s="12">
        <f>I6*$AA$7</f>
        <v>44737.2</v>
      </c>
      <c r="J7" s="30">
        <f>I7/$I$19</f>
        <v>6.0844727296055161E-2</v>
      </c>
      <c r="K7" s="12">
        <f>K6*$AA$7</f>
        <v>47797.200000000004</v>
      </c>
      <c r="L7" s="30">
        <f>K7/$K$19</f>
        <v>6.1379161284272649E-2</v>
      </c>
      <c r="M7" s="12">
        <f>M6*$AA$7</f>
        <v>47797.200000000004</v>
      </c>
      <c r="N7" s="30">
        <f>M7/$M$19</f>
        <v>6.1379161284272649E-2</v>
      </c>
      <c r="O7" s="12">
        <f>O6*$AA$7</f>
        <v>47797.200000000004</v>
      </c>
      <c r="P7" s="30">
        <f>O7/$O$19</f>
        <v>6.1379161284272649E-2</v>
      </c>
      <c r="Q7" s="12">
        <f>Q6*$AA$7</f>
        <v>47797.200000000004</v>
      </c>
      <c r="R7" s="30">
        <f>Q7/$Q$19</f>
        <v>6.1379161284272649E-2</v>
      </c>
      <c r="S7" s="12">
        <f>S6*$AA$7</f>
        <v>50857.2</v>
      </c>
      <c r="T7" s="30">
        <f>S7/$S$19</f>
        <v>6.1857105342883564E-2</v>
      </c>
      <c r="U7" s="12">
        <f>U6*$AA$7</f>
        <v>50857.2</v>
      </c>
      <c r="V7" s="30">
        <f>U7/$U$19</f>
        <v>6.1857105342883564E-2</v>
      </c>
      <c r="W7" s="12">
        <f>W6*$AA$7</f>
        <v>52387.199999999997</v>
      </c>
      <c r="X7" s="30">
        <f>W7/$W$19</f>
        <v>6.2077620503338982E-2</v>
      </c>
      <c r="Y7" s="12">
        <f>Y6*$AA$7</f>
        <v>52387.199999999997</v>
      </c>
      <c r="Z7" s="30">
        <f>Y7/$Y$19</f>
        <v>6.2077620503338982E-2</v>
      </c>
      <c r="AA7" s="29">
        <f>'Sales and Assumptions'!F28</f>
        <v>612000</v>
      </c>
      <c r="AB7" s="30">
        <f>AA7/$AA$19</f>
        <v>6.2350984589420948E-2</v>
      </c>
      <c r="AC7" s="12">
        <f>C7*115%</f>
        <v>63975.419999999991</v>
      </c>
      <c r="AD7" s="30">
        <f>AC7/$AC$19</f>
        <v>7.0422535211267595E-2</v>
      </c>
      <c r="AE7" s="12">
        <f>E7*115%</f>
        <v>65523.78</v>
      </c>
      <c r="AF7" s="30">
        <f>AE7/$AE$19</f>
        <v>7.0422535211267609E-2</v>
      </c>
      <c r="AG7" s="12">
        <f>G7*115%</f>
        <v>65523.78</v>
      </c>
      <c r="AH7" s="30">
        <f>AG7/$AG$19</f>
        <v>7.0422535211267609E-2</v>
      </c>
      <c r="AI7" s="12">
        <f>I7*115%</f>
        <v>51447.779999999992</v>
      </c>
      <c r="AJ7" s="30">
        <f>AI7/$AI$19</f>
        <v>7.0422535211267609E-2</v>
      </c>
      <c r="AK7" s="12">
        <f>K7*115%</f>
        <v>54966.78</v>
      </c>
      <c r="AL7" s="30">
        <f>AK7/$AK$19</f>
        <v>7.0422535211267609E-2</v>
      </c>
      <c r="AM7" s="26"/>
      <c r="AN7" s="12">
        <f>M7*115%</f>
        <v>54966.78</v>
      </c>
      <c r="AO7" s="30">
        <f>AN7/$AN$19</f>
        <v>7.0422535211267609E-2</v>
      </c>
      <c r="AP7" s="12">
        <f>O7*115%</f>
        <v>54966.78</v>
      </c>
      <c r="AQ7" s="30">
        <f>AP7/$AP$19</f>
        <v>7.0422535211267609E-2</v>
      </c>
      <c r="AR7" s="12">
        <f>Q7*115%</f>
        <v>54966.78</v>
      </c>
      <c r="AS7" s="30">
        <f>AR7/$AR$19</f>
        <v>7.0422535211267609E-2</v>
      </c>
      <c r="AT7" s="12">
        <f>S7*115%</f>
        <v>58485.779999999992</v>
      </c>
      <c r="AU7" s="30">
        <f>AT7/$AT$19</f>
        <v>7.0422535211267609E-2</v>
      </c>
      <c r="AV7" s="12">
        <f>U7*115%</f>
        <v>58485.779999999992</v>
      </c>
      <c r="AW7" s="30">
        <f>AV7/$AV$19</f>
        <v>7.0422535211267609E-2</v>
      </c>
      <c r="AX7" s="12">
        <f>W7*115%</f>
        <v>60245.279999999992</v>
      </c>
      <c r="AY7" s="30">
        <f>AX7/$AX$19</f>
        <v>7.0422535211267595E-2</v>
      </c>
      <c r="AZ7" s="12">
        <f>Y7*115%</f>
        <v>60245.279999999992</v>
      </c>
      <c r="BA7" s="30">
        <f>AZ7/$AZ$19</f>
        <v>7.0422535211267595E-2</v>
      </c>
      <c r="BB7" s="84">
        <f>SUM(AC7:BA7)</f>
        <v>703800.84507042251</v>
      </c>
      <c r="BC7" s="30">
        <f>BB7/$BB$19</f>
        <v>7.0422528164767184E-2</v>
      </c>
    </row>
    <row r="8" spans="1:55" s="13" customFormat="1" ht="11" hidden="1" outlineLevel="1" x14ac:dyDescent="0.15">
      <c r="A8" s="3" t="s">
        <v>71</v>
      </c>
      <c r="B8" s="3"/>
      <c r="C8" s="12">
        <f>C6*$AA$8</f>
        <v>222523.19999999998</v>
      </c>
      <c r="D8" s="30">
        <f>C8/$C$19</f>
        <v>0.26492199070508893</v>
      </c>
      <c r="E8" s="12">
        <f>E6*$AA$8</f>
        <v>227908.80000000002</v>
      </c>
      <c r="F8" s="30">
        <f>E8/$E$19</f>
        <v>0.25779312426659057</v>
      </c>
      <c r="G8" s="12">
        <f>G6*$AA$8</f>
        <v>227908.80000000002</v>
      </c>
      <c r="H8" s="30">
        <f>G8/$G$19</f>
        <v>0.25070369968033218</v>
      </c>
      <c r="I8" s="12">
        <f>I6*$AA$8</f>
        <v>178948.8</v>
      </c>
      <c r="J8" s="30">
        <f>I8/$I$19</f>
        <v>0.24337890918422064</v>
      </c>
      <c r="K8" s="12">
        <f>K6*$AA$8</f>
        <v>191188.80000000002</v>
      </c>
      <c r="L8" s="30">
        <f>K8/$K$19</f>
        <v>0.24551664513709059</v>
      </c>
      <c r="M8" s="12">
        <f>M6*$AA$8</f>
        <v>191188.80000000002</v>
      </c>
      <c r="N8" s="30">
        <f>M8/$M$19</f>
        <v>0.24551664513709059</v>
      </c>
      <c r="O8" s="12">
        <f>O6*$AA$8</f>
        <v>191188.80000000002</v>
      </c>
      <c r="P8" s="30">
        <f>O8/$O$19</f>
        <v>0.24551664513709059</v>
      </c>
      <c r="Q8" s="12">
        <f>Q6*$AA$8</f>
        <v>191188.80000000002</v>
      </c>
      <c r="R8" s="30">
        <f>Q8/$Q$19</f>
        <v>0.24551664513709059</v>
      </c>
      <c r="S8" s="12">
        <f>S6*$AA$8</f>
        <v>203428.8</v>
      </c>
      <c r="T8" s="30">
        <f>S8/$S$19</f>
        <v>0.24742842137153426</v>
      </c>
      <c r="U8" s="12">
        <f>U6*$AA$8</f>
        <v>203428.8</v>
      </c>
      <c r="V8" s="30">
        <f>U8/$U$19</f>
        <v>0.24742842137153426</v>
      </c>
      <c r="W8" s="12">
        <f>W6*$AA$8</f>
        <v>209548.79999999999</v>
      </c>
      <c r="X8" s="30">
        <f>W8/$W$19</f>
        <v>0.24831048201335593</v>
      </c>
      <c r="Y8" s="12">
        <f>Y6*$AA$8</f>
        <v>209548.79999999999</v>
      </c>
      <c r="Z8" s="30">
        <f>Y8/$Y$19</f>
        <v>0.24831048201335593</v>
      </c>
      <c r="AA8" s="29">
        <f>'Sales and Assumptions'!G28</f>
        <v>2448000</v>
      </c>
      <c r="AB8" s="30">
        <f>AA8/$AA$19</f>
        <v>0.24940393835768379</v>
      </c>
      <c r="AC8" s="12">
        <f t="shared" ref="AC8:AK9" si="0">C8*115%</f>
        <v>255901.67999999996</v>
      </c>
      <c r="AD8" s="30">
        <f>AC8/$AC$19</f>
        <v>0.28169014084507038</v>
      </c>
      <c r="AE8" s="12">
        <f t="shared" si="0"/>
        <v>262095.12</v>
      </c>
      <c r="AF8" s="30">
        <f>AE8/$AE$19</f>
        <v>0.28169014084507044</v>
      </c>
      <c r="AG8" s="12">
        <f t="shared" si="0"/>
        <v>262095.12</v>
      </c>
      <c r="AH8" s="30">
        <f>AG8/$AG$19</f>
        <v>0.28169014084507044</v>
      </c>
      <c r="AI8" s="12">
        <f t="shared" si="0"/>
        <v>205791.11999999997</v>
      </c>
      <c r="AJ8" s="30">
        <f>AI8/$AI$19</f>
        <v>0.28169014084507044</v>
      </c>
      <c r="AK8" s="12">
        <f t="shared" si="0"/>
        <v>219867.12</v>
      </c>
      <c r="AL8" s="30">
        <f>AK8/$AK$19</f>
        <v>0.28169014084507044</v>
      </c>
      <c r="AM8" s="31">
        <v>0.38762259287514744</v>
      </c>
      <c r="AN8" s="12">
        <f t="shared" ref="AN8:AZ9" si="1">M8*115%</f>
        <v>219867.12</v>
      </c>
      <c r="AO8" s="30">
        <f>AN8/$AN$19</f>
        <v>0.28169014084507044</v>
      </c>
      <c r="AP8" s="12">
        <f t="shared" si="1"/>
        <v>219867.12</v>
      </c>
      <c r="AQ8" s="30">
        <f>AP8/$AP$19</f>
        <v>0.28169014084507044</v>
      </c>
      <c r="AR8" s="12">
        <f t="shared" si="1"/>
        <v>219867.12</v>
      </c>
      <c r="AS8" s="30">
        <f>AR8/$AR$19</f>
        <v>0.28169014084507044</v>
      </c>
      <c r="AT8" s="12">
        <f t="shared" si="1"/>
        <v>233943.11999999997</v>
      </c>
      <c r="AU8" s="30">
        <f>AT8/$AT$19</f>
        <v>0.28169014084507044</v>
      </c>
      <c r="AV8" s="12">
        <f t="shared" si="1"/>
        <v>233943.11999999997</v>
      </c>
      <c r="AW8" s="30">
        <f>AV8/$AV$19</f>
        <v>0.28169014084507044</v>
      </c>
      <c r="AX8" s="12">
        <f t="shared" si="1"/>
        <v>240981.11999999997</v>
      </c>
      <c r="AY8" s="30">
        <f>AX8/$AX$19</f>
        <v>0.28169014084507038</v>
      </c>
      <c r="AZ8" s="12">
        <f t="shared" si="1"/>
        <v>240981.11999999997</v>
      </c>
      <c r="BA8" s="30">
        <f>AZ8/$AZ$19</f>
        <v>0.28169014084507038</v>
      </c>
      <c r="BB8" s="84">
        <f t="shared" ref="BB8:BB70" si="2">SUM(AC8:BA8)</f>
        <v>2815203.767904283</v>
      </c>
      <c r="BC8" s="30">
        <f>BB8/$BB$19</f>
        <v>0.28169015144470411</v>
      </c>
    </row>
    <row r="9" spans="1:55" s="13" customFormat="1" ht="11" hidden="1" collapsed="1" x14ac:dyDescent="0.15">
      <c r="A9" s="3" t="s">
        <v>137</v>
      </c>
      <c r="B9" s="3"/>
      <c r="C9" s="12">
        <f>C6*$AA$9</f>
        <v>0</v>
      </c>
      <c r="D9" s="30">
        <f>C9/$C$19</f>
        <v>0</v>
      </c>
      <c r="E9" s="12">
        <f>E6*$AA$9</f>
        <v>0</v>
      </c>
      <c r="F9" s="30">
        <f>E9/$E$19</f>
        <v>0</v>
      </c>
      <c r="G9" s="12">
        <f>G6*$AA$9</f>
        <v>0</v>
      </c>
      <c r="H9" s="30">
        <f>G9/$G$19</f>
        <v>0</v>
      </c>
      <c r="I9" s="12">
        <f>I6*$AA$9</f>
        <v>0</v>
      </c>
      <c r="J9" s="30">
        <f>I9/$I$19</f>
        <v>0</v>
      </c>
      <c r="K9" s="12">
        <f>K6*$AA$9</f>
        <v>0</v>
      </c>
      <c r="L9" s="30">
        <f>K9/$K$19</f>
        <v>0</v>
      </c>
      <c r="M9" s="12">
        <f>M6*$AA$9</f>
        <v>0</v>
      </c>
      <c r="N9" s="30">
        <f>M9/$M$19</f>
        <v>0</v>
      </c>
      <c r="O9" s="12">
        <f>O6*$AA$9</f>
        <v>0</v>
      </c>
      <c r="P9" s="30">
        <f>O9/$O$19</f>
        <v>0</v>
      </c>
      <c r="Q9" s="12">
        <f>Q6*$AA$9</f>
        <v>0</v>
      </c>
      <c r="R9" s="30">
        <f>Q9/$Q$19</f>
        <v>0</v>
      </c>
      <c r="S9" s="12">
        <f>S6*$AA$9</f>
        <v>0</v>
      </c>
      <c r="T9" s="30">
        <f>S9/$S$19</f>
        <v>0</v>
      </c>
      <c r="U9" s="12">
        <f>U6*$AA$9</f>
        <v>0</v>
      </c>
      <c r="V9" s="30">
        <f>U9/$U$19</f>
        <v>0</v>
      </c>
      <c r="W9" s="12">
        <f>W6*$AA$9</f>
        <v>0</v>
      </c>
      <c r="X9" s="30">
        <f>W9/$W$19</f>
        <v>0</v>
      </c>
      <c r="Y9" s="12">
        <f>Y6*$AA$9</f>
        <v>0</v>
      </c>
      <c r="Z9" s="30">
        <f>Y9/$Y$19</f>
        <v>0</v>
      </c>
      <c r="AA9" s="29">
        <f>'Sales and Assumptions'!H28</f>
        <v>0</v>
      </c>
      <c r="AB9" s="30">
        <f>AA9/$AA$19</f>
        <v>0</v>
      </c>
      <c r="AC9" s="12">
        <f t="shared" si="0"/>
        <v>0</v>
      </c>
      <c r="AD9" s="30">
        <f>AC9/$AC$19</f>
        <v>0</v>
      </c>
      <c r="AE9" s="12">
        <f t="shared" si="0"/>
        <v>0</v>
      </c>
      <c r="AF9" s="30">
        <f>AE9/$AE$19</f>
        <v>0</v>
      </c>
      <c r="AG9" s="12">
        <f t="shared" si="0"/>
        <v>0</v>
      </c>
      <c r="AH9" s="30">
        <f>AG9/$AG$19</f>
        <v>0</v>
      </c>
      <c r="AI9" s="12">
        <f t="shared" si="0"/>
        <v>0</v>
      </c>
      <c r="AJ9" s="30">
        <f>AI9/$AI$19</f>
        <v>0</v>
      </c>
      <c r="AK9" s="12">
        <f t="shared" si="0"/>
        <v>0</v>
      </c>
      <c r="AL9" s="30">
        <f>AK9/$AK$19</f>
        <v>0</v>
      </c>
      <c r="AM9" s="31">
        <v>0.50449957011227364</v>
      </c>
      <c r="AN9" s="12">
        <f t="shared" si="1"/>
        <v>0</v>
      </c>
      <c r="AO9" s="30">
        <f>AN9/$AN$19</f>
        <v>0</v>
      </c>
      <c r="AP9" s="12">
        <f t="shared" si="1"/>
        <v>0</v>
      </c>
      <c r="AQ9" s="30">
        <f>AP9/$AP$19</f>
        <v>0</v>
      </c>
      <c r="AR9" s="12">
        <f t="shared" si="1"/>
        <v>0</v>
      </c>
      <c r="AS9" s="30">
        <f>AR9/$AR$19</f>
        <v>0</v>
      </c>
      <c r="AT9" s="12">
        <f t="shared" si="1"/>
        <v>0</v>
      </c>
      <c r="AU9" s="30">
        <f>AT9/$AT$19</f>
        <v>0</v>
      </c>
      <c r="AV9" s="12">
        <f t="shared" si="1"/>
        <v>0</v>
      </c>
      <c r="AW9" s="30">
        <f>AV9/$AV$19</f>
        <v>0</v>
      </c>
      <c r="AX9" s="12">
        <f t="shared" si="1"/>
        <v>0</v>
      </c>
      <c r="AY9" s="30">
        <f>AX9/$AX$19</f>
        <v>0</v>
      </c>
      <c r="AZ9" s="12">
        <f t="shared" si="1"/>
        <v>0</v>
      </c>
      <c r="BA9" s="30">
        <f>AZ9/$AZ$19</f>
        <v>0</v>
      </c>
      <c r="BB9" s="84">
        <f t="shared" si="2"/>
        <v>0.50449957011227364</v>
      </c>
      <c r="BC9" s="30">
        <f>BB9/$BB$19</f>
        <v>5.0480381537179843E-8</v>
      </c>
    </row>
    <row r="10" spans="1:55" s="13" customFormat="1" ht="19" customHeight="1" x14ac:dyDescent="0.15">
      <c r="A10" s="3" t="s">
        <v>89</v>
      </c>
      <c r="B10" s="3"/>
      <c r="C10" s="12">
        <f>SUM(C6:C9)</f>
        <v>278154.09089999995</v>
      </c>
      <c r="D10" s="30">
        <f>C10/C$19</f>
        <v>0.33115259660112861</v>
      </c>
      <c r="E10" s="12">
        <f>SUM(E6:E9)</f>
        <v>284886.0931</v>
      </c>
      <c r="F10" s="30">
        <f>E10/E$19</f>
        <v>0.32224151064088702</v>
      </c>
      <c r="G10" s="12">
        <f>SUM(G6:G9)</f>
        <v>284886.0931</v>
      </c>
      <c r="H10" s="30">
        <f>G10/G$19</f>
        <v>0.31337972701205724</v>
      </c>
      <c r="I10" s="12">
        <f>SUM(I6:I9)</f>
        <v>223686.07309999998</v>
      </c>
      <c r="J10" s="30">
        <f>I10/I$19</f>
        <v>0.30422373589976487</v>
      </c>
      <c r="K10" s="12">
        <f>SUM(K6:K9)</f>
        <v>238986.07810000001</v>
      </c>
      <c r="L10" s="30">
        <f>K10/K$19</f>
        <v>0.30689590671411043</v>
      </c>
      <c r="M10" s="12">
        <f>SUM(M6:M9)</f>
        <v>238986.07810000001</v>
      </c>
      <c r="N10" s="30">
        <f>M10/M$19</f>
        <v>0.30689590671411043</v>
      </c>
      <c r="O10" s="12">
        <f>SUM(O6:O9)</f>
        <v>238986.07810000001</v>
      </c>
      <c r="P10" s="30">
        <f>O10/O$19</f>
        <v>0.30689590671411043</v>
      </c>
      <c r="Q10" s="12">
        <f>SUM(Q6:Q9)</f>
        <v>238986.07810000001</v>
      </c>
      <c r="R10" s="30">
        <f>Q10/Q$19</f>
        <v>0.30689590671411043</v>
      </c>
      <c r="S10" s="12">
        <f>SUM(S6:S9)</f>
        <v>254286.08309999999</v>
      </c>
      <c r="T10" s="30">
        <f>S10/S$19</f>
        <v>0.30928562778811935</v>
      </c>
      <c r="U10" s="12">
        <f>SUM(U6:U9)</f>
        <v>254286.08309999999</v>
      </c>
      <c r="V10" s="30">
        <f>U10/U$19</f>
        <v>0.30928562778811935</v>
      </c>
      <c r="W10" s="12">
        <f>SUM(W6:W9)</f>
        <v>261936.08559999999</v>
      </c>
      <c r="X10" s="30">
        <f>W10/W$19</f>
        <v>0.31038820395071537</v>
      </c>
      <c r="Y10" s="12">
        <f>SUM(Y6:Y9)</f>
        <v>261936.08559999999</v>
      </c>
      <c r="Z10" s="30">
        <f>Y10/Y$19</f>
        <v>0.31038820395071537</v>
      </c>
      <c r="AA10" s="12">
        <f>SUM(AA6:AA9)</f>
        <v>3060001</v>
      </c>
      <c r="AB10" s="30">
        <f>AA10/AA$19</f>
        <v>0.31175502482779849</v>
      </c>
      <c r="AC10" s="12">
        <f>SUM(AC6:AC9)</f>
        <v>319877.09999999998</v>
      </c>
      <c r="AD10" s="30">
        <f>AC10/AC$19</f>
        <v>0.35211267605633806</v>
      </c>
      <c r="AE10" s="12">
        <f>SUM(AE6:AE9)</f>
        <v>327618.90000000002</v>
      </c>
      <c r="AF10" s="30">
        <f>AE10/AE$19</f>
        <v>0.35211267605633806</v>
      </c>
      <c r="AG10" s="12">
        <f>SUM(AG6:AG9)</f>
        <v>327618.90000000002</v>
      </c>
      <c r="AH10" s="30">
        <f>AG10/AG$19</f>
        <v>0.35211267605633806</v>
      </c>
      <c r="AI10" s="12">
        <f>SUM(AI6:AI9)</f>
        <v>257238.89999999997</v>
      </c>
      <c r="AJ10" s="30">
        <f>AI10/AI$19</f>
        <v>0.352112676056338</v>
      </c>
      <c r="AK10" s="12">
        <f>SUM(AK6:AK9)</f>
        <v>274833.90000000002</v>
      </c>
      <c r="AL10" s="30">
        <f>AK10/AK$19</f>
        <v>0.35211267605633806</v>
      </c>
      <c r="AM10" s="31"/>
      <c r="AN10" s="12">
        <f>SUM(AN6:AN9)</f>
        <v>274833.90000000002</v>
      </c>
      <c r="AO10" s="30">
        <f>AN10/AN$19</f>
        <v>0.35211267605633806</v>
      </c>
      <c r="AP10" s="12">
        <f>SUM(AP6:AP9)</f>
        <v>274833.90000000002</v>
      </c>
      <c r="AQ10" s="30">
        <f>AP10/AP$19</f>
        <v>0.35211267605633806</v>
      </c>
      <c r="AR10" s="12">
        <f>SUM(AR6:AR9)</f>
        <v>274833.90000000002</v>
      </c>
      <c r="AS10" s="30">
        <f>AR10/AR$19</f>
        <v>0.35211267605633806</v>
      </c>
      <c r="AT10" s="12">
        <f>SUM(AT6:AT9)</f>
        <v>292428.89999999997</v>
      </c>
      <c r="AU10" s="30">
        <f>AT10/AT$19</f>
        <v>0.35211267605633806</v>
      </c>
      <c r="AV10" s="12">
        <f>SUM(AV6:AV9)</f>
        <v>292428.89999999997</v>
      </c>
      <c r="AW10" s="30">
        <f>AV10/AV$19</f>
        <v>0.35211267605633806</v>
      </c>
      <c r="AX10" s="12">
        <f>SUM(AX6:AX9)</f>
        <v>301226.39999999997</v>
      </c>
      <c r="AY10" s="30">
        <f>AX10/AX$19</f>
        <v>0.352112676056338</v>
      </c>
      <c r="AZ10" s="12">
        <f>SUM(AZ6:AZ9)</f>
        <v>301226.39999999997</v>
      </c>
      <c r="BA10" s="30">
        <f>AZ10/AZ$19</f>
        <v>0.352112676056338</v>
      </c>
      <c r="BB10" s="84">
        <f t="shared" si="2"/>
        <v>3519004.2253521117</v>
      </c>
      <c r="BC10" s="30">
        <f>BB10/BB$19</f>
        <v>0.35211264082383581</v>
      </c>
    </row>
    <row r="11" spans="1:55" s="13" customFormat="1" ht="14" customHeight="1" x14ac:dyDescent="0.15">
      <c r="A11" s="3"/>
      <c r="B11" s="3"/>
      <c r="C11" s="12"/>
      <c r="D11" s="30"/>
      <c r="E11" s="12"/>
      <c r="F11" s="30"/>
      <c r="G11" s="12"/>
      <c r="H11" s="30"/>
      <c r="I11" s="12"/>
      <c r="J11" s="30"/>
      <c r="K11" s="12"/>
      <c r="L11" s="30"/>
      <c r="M11" s="12"/>
      <c r="N11" s="30"/>
      <c r="O11" s="12"/>
      <c r="P11" s="30"/>
      <c r="Q11" s="12"/>
      <c r="R11" s="30"/>
      <c r="S11" s="12"/>
      <c r="T11" s="30"/>
      <c r="U11" s="12"/>
      <c r="V11" s="30"/>
      <c r="W11" s="12"/>
      <c r="X11" s="30"/>
      <c r="Y11" s="12"/>
      <c r="Z11" s="30"/>
      <c r="AA11" s="29"/>
      <c r="AB11" s="30"/>
      <c r="AC11" s="12"/>
      <c r="AD11" s="30"/>
      <c r="AE11" s="12"/>
      <c r="AF11" s="30"/>
      <c r="AG11" s="12"/>
      <c r="AH11" s="30"/>
      <c r="AI11" s="12"/>
      <c r="AJ11" s="30"/>
      <c r="AK11" s="12"/>
      <c r="AL11" s="30"/>
      <c r="AM11" s="31"/>
      <c r="AN11" s="12"/>
      <c r="AO11" s="30"/>
      <c r="AP11" s="12"/>
      <c r="AQ11" s="30"/>
      <c r="AR11" s="12"/>
      <c r="AS11" s="30"/>
      <c r="AT11" s="12"/>
      <c r="AU11" s="30"/>
      <c r="AV11" s="12"/>
      <c r="AW11" s="30"/>
      <c r="AX11" s="12"/>
      <c r="AY11" s="30"/>
      <c r="AZ11" s="12"/>
      <c r="BA11" s="30"/>
      <c r="BB11" s="84">
        <f t="shared" si="2"/>
        <v>0</v>
      </c>
      <c r="BC11" s="30"/>
    </row>
    <row r="12" spans="1:55" s="13" customFormat="1" ht="11" outlineLevel="1" x14ac:dyDescent="0.15">
      <c r="A12" s="3" t="s">
        <v>90</v>
      </c>
      <c r="B12" s="3"/>
      <c r="C12" s="12">
        <f>C$16*45%</f>
        <v>230311.51199999999</v>
      </c>
      <c r="D12" s="30">
        <f>C12/C$19</f>
        <v>0.27419426037976707</v>
      </c>
      <c r="E12" s="12">
        <f>E$16*45%</f>
        <v>235885.60800000001</v>
      </c>
      <c r="F12" s="30">
        <f>E12/E$19</f>
        <v>0.26681588361592123</v>
      </c>
      <c r="G12" s="12">
        <f>G$16*45%</f>
        <v>235885.60800000001</v>
      </c>
      <c r="H12" s="30">
        <f>G12/G$19</f>
        <v>0.25947832916914382</v>
      </c>
      <c r="I12" s="12">
        <f>I$16*45%</f>
        <v>185212.008</v>
      </c>
      <c r="J12" s="30">
        <f>I12/I$19</f>
        <v>0.25189717100566839</v>
      </c>
      <c r="K12" s="12">
        <f>K$16*45%</f>
        <v>197880.408</v>
      </c>
      <c r="L12" s="30">
        <f>K12/K$19</f>
        <v>0.25410972771688872</v>
      </c>
      <c r="M12" s="12">
        <f>M$16*45%</f>
        <v>197880.408</v>
      </c>
      <c r="N12" s="30">
        <f>M12/M$19</f>
        <v>0.25410972771688872</v>
      </c>
      <c r="O12" s="12">
        <f>O$16*45%</f>
        <v>197880.408</v>
      </c>
      <c r="P12" s="30">
        <f>O12/O$19</f>
        <v>0.25410972771688872</v>
      </c>
      <c r="Q12" s="12">
        <f>Q$16*45%</f>
        <v>197880.408</v>
      </c>
      <c r="R12" s="30">
        <f>Q12/Q$19</f>
        <v>0.25410972771688872</v>
      </c>
      <c r="S12" s="12">
        <f>S$16*45%</f>
        <v>210548.80799999999</v>
      </c>
      <c r="T12" s="30">
        <f>S12/S$19</f>
        <v>0.25608841611953798</v>
      </c>
      <c r="U12" s="12">
        <f>U$16*45%</f>
        <v>210548.80799999999</v>
      </c>
      <c r="V12" s="30">
        <f>U12/U$19</f>
        <v>0.25608841611953798</v>
      </c>
      <c r="W12" s="12">
        <f>W$16*45%</f>
        <v>216883.008</v>
      </c>
      <c r="X12" s="30">
        <f>W12/W$19</f>
        <v>0.25700134888382342</v>
      </c>
      <c r="Y12" s="12">
        <f>Y$16*45%</f>
        <v>216883.008</v>
      </c>
      <c r="Z12" s="30">
        <f>Y12/Y$19</f>
        <v>0.25700134888382342</v>
      </c>
      <c r="AA12" s="12">
        <f>AA$16*45%</f>
        <v>2533680</v>
      </c>
      <c r="AB12" s="30">
        <f>AA12/AA$19</f>
        <v>0.2581330762002027</v>
      </c>
      <c r="AC12" s="12">
        <f t="shared" ref="AC12:AK16" si="3">C12*115%</f>
        <v>264858.23879999999</v>
      </c>
      <c r="AD12" s="30">
        <f>AC12/AC$19</f>
        <v>0.29154929577464789</v>
      </c>
      <c r="AE12" s="12">
        <f t="shared" si="3"/>
        <v>271268.44919999997</v>
      </c>
      <c r="AF12" s="30">
        <f>AE12/AE$19</f>
        <v>0.29154929577464789</v>
      </c>
      <c r="AG12" s="12">
        <f t="shared" si="3"/>
        <v>271268.44919999997</v>
      </c>
      <c r="AH12" s="30">
        <f>AG12/AG$19</f>
        <v>0.29154929577464789</v>
      </c>
      <c r="AI12" s="12">
        <f t="shared" si="3"/>
        <v>212993.80919999999</v>
      </c>
      <c r="AJ12" s="30">
        <f>AI12/AI$19</f>
        <v>0.29154929577464789</v>
      </c>
      <c r="AK12" s="12">
        <f t="shared" si="3"/>
        <v>227562.46919999996</v>
      </c>
      <c r="AL12" s="30">
        <f>AK12/AK$19</f>
        <v>0.29154929577464783</v>
      </c>
      <c r="AM12" s="31"/>
      <c r="AN12" s="12">
        <f>M12*115%</f>
        <v>227562.46919999996</v>
      </c>
      <c r="AO12" s="30">
        <f>AN12/AN$19</f>
        <v>0.29154929577464783</v>
      </c>
      <c r="AP12" s="12">
        <f>O12*115%</f>
        <v>227562.46919999996</v>
      </c>
      <c r="AQ12" s="30">
        <f>AP12/AP$19</f>
        <v>0.29154929577464783</v>
      </c>
      <c r="AR12" s="12">
        <f>Q12*115%</f>
        <v>227562.46919999996</v>
      </c>
      <c r="AS12" s="30">
        <f>AR12/AR$19</f>
        <v>0.29154929577464783</v>
      </c>
      <c r="AT12" s="12">
        <f>S12*115%</f>
        <v>242131.12919999997</v>
      </c>
      <c r="AU12" s="30">
        <f>AT12/AT$19</f>
        <v>0.29154929577464789</v>
      </c>
      <c r="AV12" s="12">
        <f>U12*115%</f>
        <v>242131.12919999997</v>
      </c>
      <c r="AW12" s="30">
        <f>AV12/AV$19</f>
        <v>0.29154929577464789</v>
      </c>
      <c r="AX12" s="12">
        <f>W12*115%</f>
        <v>249415.45919999998</v>
      </c>
      <c r="AY12" s="30">
        <f>AX12/AX$19</f>
        <v>0.29154929577464783</v>
      </c>
      <c r="AZ12" s="12">
        <f>Y12*115%</f>
        <v>249415.45919999998</v>
      </c>
      <c r="BA12" s="30">
        <f>AZ12/AZ$19</f>
        <v>0.29154929577464783</v>
      </c>
      <c r="BB12" s="84">
        <f t="shared" si="2"/>
        <v>2913735.4985915488</v>
      </c>
      <c r="BC12" s="30">
        <f>BB12/BB$19</f>
        <v>0.29154926660213609</v>
      </c>
    </row>
    <row r="13" spans="1:55" s="13" customFormat="1" ht="11" outlineLevel="1" x14ac:dyDescent="0.15">
      <c r="A13" s="3" t="s">
        <v>91</v>
      </c>
      <c r="B13" s="3"/>
      <c r="C13" s="12">
        <f>C$16*35%</f>
        <v>179131.17599999998</v>
      </c>
      <c r="D13" s="30">
        <f>C13/C$19</f>
        <v>0.21326220251759659</v>
      </c>
      <c r="E13" s="12">
        <f>E$16*35%</f>
        <v>183466.58399999997</v>
      </c>
      <c r="F13" s="30">
        <f>E13/E$19</f>
        <v>0.20752346503460539</v>
      </c>
      <c r="G13" s="12">
        <f>G$16*35%</f>
        <v>183466.58399999997</v>
      </c>
      <c r="H13" s="30">
        <f t="shared" ref="H13" si="4">G13/G$19</f>
        <v>0.20181647824266738</v>
      </c>
      <c r="I13" s="12">
        <f>I$16*35%</f>
        <v>144053.78399999999</v>
      </c>
      <c r="J13" s="30">
        <f t="shared" ref="J13" si="5">I13/I$19</f>
        <v>0.1959200218932976</v>
      </c>
      <c r="K13" s="12">
        <f>K$16*35%</f>
        <v>153906.984</v>
      </c>
      <c r="L13" s="30">
        <f t="shared" ref="L13" si="6">K13/K$19</f>
        <v>0.19764089933535792</v>
      </c>
      <c r="M13" s="12">
        <f>M$16*35%</f>
        <v>153906.984</v>
      </c>
      <c r="N13" s="30">
        <f t="shared" ref="N13" si="7">M13/M$19</f>
        <v>0.19764089933535792</v>
      </c>
      <c r="O13" s="12">
        <f>O$16*35%</f>
        <v>153906.984</v>
      </c>
      <c r="P13" s="30">
        <f t="shared" ref="P13" si="8">O13/O$19</f>
        <v>0.19764089933535792</v>
      </c>
      <c r="Q13" s="12">
        <f>Q$16*35%</f>
        <v>153906.984</v>
      </c>
      <c r="R13" s="30">
        <f t="shared" ref="R13" si="9">Q13/Q$19</f>
        <v>0.19764089933535792</v>
      </c>
      <c r="S13" s="12">
        <f>S$16*35%</f>
        <v>163760.18399999998</v>
      </c>
      <c r="T13" s="30">
        <f t="shared" ref="T13" si="10">S13/S$19</f>
        <v>0.19917987920408506</v>
      </c>
      <c r="U13" s="12">
        <f>U$16*35%</f>
        <v>163760.18399999998</v>
      </c>
      <c r="V13" s="30">
        <f t="shared" ref="V13" si="11">U13/U$19</f>
        <v>0.19917987920408506</v>
      </c>
      <c r="W13" s="12">
        <f>W$16*35%</f>
        <v>168686.78399999999</v>
      </c>
      <c r="X13" s="30">
        <f t="shared" ref="X13" si="12">W13/W$19</f>
        <v>0.19988993802075153</v>
      </c>
      <c r="Y13" s="12">
        <f>Y$16*35%</f>
        <v>168686.78399999999</v>
      </c>
      <c r="Z13" s="30">
        <f t="shared" ref="Z13" si="13">Y13/Y$19</f>
        <v>0.19988993802075153</v>
      </c>
      <c r="AA13" s="12">
        <f>AA$16*35%</f>
        <v>1970639.9999999998</v>
      </c>
      <c r="AB13" s="30">
        <f>AA13/AA$19</f>
        <v>0.20077017037793543</v>
      </c>
      <c r="AC13" s="12">
        <f t="shared" si="3"/>
        <v>206000.85239999995</v>
      </c>
      <c r="AD13" s="30">
        <f t="shared" ref="AD13" si="14">AC13/AC$19</f>
        <v>0.22676056338028164</v>
      </c>
      <c r="AE13" s="12">
        <f t="shared" si="3"/>
        <v>210986.57159999997</v>
      </c>
      <c r="AF13" s="30">
        <f t="shared" ref="AF13" si="15">AE13/AE$19</f>
        <v>0.22676056338028167</v>
      </c>
      <c r="AG13" s="12">
        <f t="shared" si="3"/>
        <v>210986.57159999997</v>
      </c>
      <c r="AH13" s="30">
        <f t="shared" ref="AH13" si="16">AG13/AG$19</f>
        <v>0.22676056338028167</v>
      </c>
      <c r="AI13" s="12">
        <f t="shared" si="3"/>
        <v>165661.85159999997</v>
      </c>
      <c r="AJ13" s="30">
        <f t="shared" ref="AJ13" si="17">AI13/AI$19</f>
        <v>0.22676056338028167</v>
      </c>
      <c r="AK13" s="12">
        <f t="shared" si="3"/>
        <v>176993.03159999999</v>
      </c>
      <c r="AL13" s="30">
        <f>AK13/AK$19</f>
        <v>0.22676056338028169</v>
      </c>
      <c r="AM13" s="31"/>
      <c r="AN13" s="12">
        <f t="shared" ref="AN13:AZ16" si="18">M13*115%</f>
        <v>176993.03159999999</v>
      </c>
      <c r="AO13" s="30">
        <f>AN13/AN$19</f>
        <v>0.22676056338028169</v>
      </c>
      <c r="AP13" s="12">
        <f t="shared" si="18"/>
        <v>176993.03159999999</v>
      </c>
      <c r="AQ13" s="30">
        <f>AP13/AP$19</f>
        <v>0.22676056338028169</v>
      </c>
      <c r="AR13" s="12">
        <f t="shared" si="18"/>
        <v>176993.03159999999</v>
      </c>
      <c r="AS13" s="30">
        <f>AR13/AR$19</f>
        <v>0.22676056338028169</v>
      </c>
      <c r="AT13" s="12">
        <f t="shared" si="18"/>
        <v>188324.21159999995</v>
      </c>
      <c r="AU13" s="30">
        <f>AT13/AT$19</f>
        <v>0.22676056338028167</v>
      </c>
      <c r="AV13" s="12">
        <f t="shared" si="18"/>
        <v>188324.21159999995</v>
      </c>
      <c r="AW13" s="30">
        <f>AV13/AV$19</f>
        <v>0.22676056338028167</v>
      </c>
      <c r="AX13" s="12">
        <f t="shared" si="18"/>
        <v>193989.80159999998</v>
      </c>
      <c r="AY13" s="30">
        <f>AX13/AX$19</f>
        <v>0.22676056338028167</v>
      </c>
      <c r="AZ13" s="12">
        <f t="shared" si="18"/>
        <v>193989.80159999998</v>
      </c>
      <c r="BA13" s="30">
        <f>AZ13/AZ$19</f>
        <v>0.22676056338028167</v>
      </c>
      <c r="BB13" s="84">
        <f t="shared" si="2"/>
        <v>2266238.7211267604</v>
      </c>
      <c r="BC13" s="30">
        <f>BB13/BB$19</f>
        <v>0.22676054069055032</v>
      </c>
    </row>
    <row r="14" spans="1:55" s="13" customFormat="1" ht="11" outlineLevel="1" x14ac:dyDescent="0.15">
      <c r="A14" s="3" t="s">
        <v>92</v>
      </c>
      <c r="B14" s="3"/>
      <c r="C14" s="12">
        <f>C16*15%</f>
        <v>76770.504000000001</v>
      </c>
      <c r="D14" s="30">
        <f>C14/C$19</f>
        <v>9.1398086793255687E-2</v>
      </c>
      <c r="E14" s="12">
        <f>E16*15%</f>
        <v>78628.535999999993</v>
      </c>
      <c r="F14" s="30">
        <f>E14/E$19</f>
        <v>8.8938627871973736E-2</v>
      </c>
      <c r="G14" s="12">
        <f>G16*15%</f>
        <v>78628.535999999993</v>
      </c>
      <c r="H14" s="30">
        <f t="shared" ref="H14" si="19">G14/G$19</f>
        <v>8.6492776389714587E-2</v>
      </c>
      <c r="I14" s="12">
        <f>I16*15%</f>
        <v>61737.335999999996</v>
      </c>
      <c r="J14" s="30">
        <f t="shared" ref="J14" si="20">I14/I$19</f>
        <v>8.3965723668556119E-2</v>
      </c>
      <c r="K14" s="12">
        <f>K16*15%</f>
        <v>65960.135999999999</v>
      </c>
      <c r="L14" s="30">
        <f t="shared" ref="L14" si="21">K14/K$19</f>
        <v>8.470324257229625E-2</v>
      </c>
      <c r="M14" s="12">
        <f>M16*15%</f>
        <v>65960.135999999999</v>
      </c>
      <c r="N14" s="30">
        <f t="shared" ref="N14" si="22">M14/M$19</f>
        <v>8.470324257229625E-2</v>
      </c>
      <c r="O14" s="12">
        <f>O16*15%</f>
        <v>65960.135999999999</v>
      </c>
      <c r="P14" s="30">
        <f t="shared" ref="P14" si="23">O14/O$19</f>
        <v>8.470324257229625E-2</v>
      </c>
      <c r="Q14" s="12">
        <f>Q16*15%</f>
        <v>65960.135999999999</v>
      </c>
      <c r="R14" s="30">
        <f t="shared" ref="R14" si="24">Q14/Q$19</f>
        <v>8.470324257229625E-2</v>
      </c>
      <c r="S14" s="12">
        <f>S16*15%</f>
        <v>70182.936000000002</v>
      </c>
      <c r="T14" s="30">
        <f t="shared" ref="T14" si="25">S14/S$19</f>
        <v>8.5362805373179321E-2</v>
      </c>
      <c r="U14" s="12">
        <f>U16*15%</f>
        <v>70182.936000000002</v>
      </c>
      <c r="V14" s="30">
        <f t="shared" ref="V14" si="26">U14/U$19</f>
        <v>8.5362805373179321E-2</v>
      </c>
      <c r="W14" s="12">
        <f>W16*15%</f>
        <v>72294.335999999996</v>
      </c>
      <c r="X14" s="30">
        <f t="shared" ref="X14" si="27">W14/W$19</f>
        <v>8.5667116294607798E-2</v>
      </c>
      <c r="Y14" s="12">
        <f>Y16*15%</f>
        <v>72294.335999999996</v>
      </c>
      <c r="Z14" s="30">
        <f t="shared" ref="Z14" si="28">Y14/Y$19</f>
        <v>8.5667116294607798E-2</v>
      </c>
      <c r="AA14" s="12">
        <f>AA16*15%</f>
        <v>844560</v>
      </c>
      <c r="AB14" s="30">
        <f>AA14/AA$19</f>
        <v>8.6044358733400911E-2</v>
      </c>
      <c r="AC14" s="12">
        <f t="shared" si="3"/>
        <v>88286.079599999997</v>
      </c>
      <c r="AD14" s="30">
        <f t="shared" ref="AD14" si="29">AC14/AC$19</f>
        <v>9.7183098591549305E-2</v>
      </c>
      <c r="AE14" s="12">
        <f t="shared" si="3"/>
        <v>90422.816399999982</v>
      </c>
      <c r="AF14" s="30">
        <f t="shared" ref="AF14" si="30">AE14/AE$19</f>
        <v>9.7183098591549277E-2</v>
      </c>
      <c r="AG14" s="12">
        <f t="shared" si="3"/>
        <v>90422.816399999982</v>
      </c>
      <c r="AH14" s="30">
        <f t="shared" ref="AH14" si="31">AG14/AG$19</f>
        <v>9.7183098591549277E-2</v>
      </c>
      <c r="AI14" s="12">
        <f t="shared" si="3"/>
        <v>70997.936399999991</v>
      </c>
      <c r="AJ14" s="30">
        <f t="shared" ref="AJ14" si="32">AI14/AI$19</f>
        <v>9.7183098591549291E-2</v>
      </c>
      <c r="AK14" s="12">
        <f t="shared" si="3"/>
        <v>75854.156399999993</v>
      </c>
      <c r="AL14" s="30">
        <f>AK14/AK$19</f>
        <v>9.7183098591549291E-2</v>
      </c>
      <c r="AM14" s="31"/>
      <c r="AN14" s="12">
        <f t="shared" si="18"/>
        <v>75854.156399999993</v>
      </c>
      <c r="AO14" s="30">
        <f>AN14/AN$19</f>
        <v>9.7183098591549291E-2</v>
      </c>
      <c r="AP14" s="12">
        <f t="shared" si="18"/>
        <v>75854.156399999993</v>
      </c>
      <c r="AQ14" s="30">
        <f>AP14/AP$19</f>
        <v>9.7183098591549291E-2</v>
      </c>
      <c r="AR14" s="12">
        <f t="shared" si="18"/>
        <v>75854.156399999993</v>
      </c>
      <c r="AS14" s="30">
        <f>AR14/AR$19</f>
        <v>9.7183098591549291E-2</v>
      </c>
      <c r="AT14" s="12">
        <f t="shared" si="18"/>
        <v>80710.376399999994</v>
      </c>
      <c r="AU14" s="30">
        <f>AT14/AT$19</f>
        <v>9.7183098591549305E-2</v>
      </c>
      <c r="AV14" s="12">
        <f t="shared" si="18"/>
        <v>80710.376399999994</v>
      </c>
      <c r="AW14" s="30">
        <f>AV14/AV$19</f>
        <v>9.7183098591549305E-2</v>
      </c>
      <c r="AX14" s="12">
        <f t="shared" si="18"/>
        <v>83138.486399999994</v>
      </c>
      <c r="AY14" s="30">
        <f>AX14/AX$19</f>
        <v>9.7183098591549291E-2</v>
      </c>
      <c r="AZ14" s="12">
        <f t="shared" si="18"/>
        <v>83138.486399999994</v>
      </c>
      <c r="BA14" s="30">
        <f>AZ14/AZ$19</f>
        <v>9.7183098591549291E-2</v>
      </c>
      <c r="BB14" s="84">
        <f t="shared" si="2"/>
        <v>971245.16619718284</v>
      </c>
      <c r="BC14" s="30">
        <f>BB14/BB$19</f>
        <v>9.7183088867378684E-2</v>
      </c>
    </row>
    <row r="15" spans="1:55" s="13" customFormat="1" ht="11" outlineLevel="1" x14ac:dyDescent="0.15">
      <c r="A15" s="3" t="s">
        <v>93</v>
      </c>
      <c r="B15" s="3"/>
      <c r="C15" s="12">
        <f>C16*5%</f>
        <v>25590.168000000001</v>
      </c>
      <c r="D15" s="30">
        <f>C15/C$19</f>
        <v>3.0466028931085232E-2</v>
      </c>
      <c r="E15" s="12">
        <f>E16*5%</f>
        <v>26209.512000000002</v>
      </c>
      <c r="F15" s="30">
        <f>E15/E$19</f>
        <v>2.9646209290657918E-2</v>
      </c>
      <c r="G15" s="12">
        <f>G16*5%</f>
        <v>26209.512000000002</v>
      </c>
      <c r="H15" s="30">
        <f t="shared" ref="H15" si="33">G15/G$19</f>
        <v>2.8830925463238202E-2</v>
      </c>
      <c r="I15" s="12">
        <f>I16*5%</f>
        <v>20579.112000000001</v>
      </c>
      <c r="J15" s="30">
        <f t="shared" ref="J15" si="34">I15/I$19</f>
        <v>2.7988574556185378E-2</v>
      </c>
      <c r="K15" s="12">
        <f>K16*5%</f>
        <v>21986.712</v>
      </c>
      <c r="L15" s="30">
        <f t="shared" ref="L15" si="35">K15/K$19</f>
        <v>2.8234414190765417E-2</v>
      </c>
      <c r="M15" s="12">
        <f>M16*5%</f>
        <v>21986.712</v>
      </c>
      <c r="N15" s="30">
        <f t="shared" ref="N15" si="36">M15/M$19</f>
        <v>2.8234414190765417E-2</v>
      </c>
      <c r="O15" s="12">
        <f>O16*5%</f>
        <v>21986.712</v>
      </c>
      <c r="P15" s="30">
        <f t="shared" ref="P15" si="37">O15/O$19</f>
        <v>2.8234414190765417E-2</v>
      </c>
      <c r="Q15" s="12">
        <f>Q16*5%</f>
        <v>21986.712</v>
      </c>
      <c r="R15" s="30">
        <f t="shared" ref="R15" si="38">Q15/Q$19</f>
        <v>2.8234414190765417E-2</v>
      </c>
      <c r="S15" s="12">
        <f>S16*5%</f>
        <v>23394.312000000002</v>
      </c>
      <c r="T15" s="30">
        <f t="shared" ref="T15" si="39">S15/S$19</f>
        <v>2.8454268457726445E-2</v>
      </c>
      <c r="U15" s="12">
        <f>U16*5%</f>
        <v>23394.312000000002</v>
      </c>
      <c r="V15" s="30">
        <f t="shared" ref="V15" si="40">U15/U$19</f>
        <v>2.8454268457726445E-2</v>
      </c>
      <c r="W15" s="12">
        <f>W16*5%</f>
        <v>24098.112000000001</v>
      </c>
      <c r="X15" s="30">
        <f t="shared" ref="X15" si="41">W15/W$19</f>
        <v>2.8555705431535936E-2</v>
      </c>
      <c r="Y15" s="12">
        <f>Y16*5%</f>
        <v>24098.112000000001</v>
      </c>
      <c r="Z15" s="30">
        <f t="shared" ref="Z15" si="42">Y15/Y$19</f>
        <v>2.8555705431535936E-2</v>
      </c>
      <c r="AA15" s="12">
        <f>AA16*5%</f>
        <v>281520</v>
      </c>
      <c r="AB15" s="30">
        <f>AA15/AA$19</f>
        <v>2.8681452911133637E-2</v>
      </c>
      <c r="AC15" s="12">
        <f t="shared" si="3"/>
        <v>29428.693199999998</v>
      </c>
      <c r="AD15" s="30">
        <f t="shared" ref="AD15" si="43">AC15/AC$19</f>
        <v>3.2394366197183097E-2</v>
      </c>
      <c r="AE15" s="12">
        <f t="shared" si="3"/>
        <v>30140.9388</v>
      </c>
      <c r="AF15" s="30">
        <f t="shared" ref="AF15" si="44">AE15/AE$19</f>
        <v>3.2394366197183097E-2</v>
      </c>
      <c r="AG15" s="12">
        <f t="shared" si="3"/>
        <v>30140.9388</v>
      </c>
      <c r="AH15" s="30">
        <f t="shared" ref="AH15" si="45">AG15/AG$19</f>
        <v>3.2394366197183097E-2</v>
      </c>
      <c r="AI15" s="12">
        <f t="shared" si="3"/>
        <v>23665.978800000001</v>
      </c>
      <c r="AJ15" s="30">
        <f t="shared" ref="AJ15" si="46">AI15/AI$19</f>
        <v>3.2394366197183104E-2</v>
      </c>
      <c r="AK15" s="12">
        <f t="shared" si="3"/>
        <v>25284.718799999999</v>
      </c>
      <c r="AL15" s="30">
        <f>AK15/AK$19</f>
        <v>3.2394366197183097E-2</v>
      </c>
      <c r="AM15" s="31"/>
      <c r="AN15" s="12">
        <f>M15*115%</f>
        <v>25284.718799999999</v>
      </c>
      <c r="AO15" s="30">
        <f>AN15/AN$19</f>
        <v>3.2394366197183097E-2</v>
      </c>
      <c r="AP15" s="12">
        <f>O15*115%</f>
        <v>25284.718799999999</v>
      </c>
      <c r="AQ15" s="30">
        <f>AP15/AP$19</f>
        <v>3.2394366197183097E-2</v>
      </c>
      <c r="AR15" s="12">
        <f>Q15*115%</f>
        <v>25284.718799999999</v>
      </c>
      <c r="AS15" s="30">
        <f>AR15/AR$19</f>
        <v>3.2394366197183097E-2</v>
      </c>
      <c r="AT15" s="12">
        <f>S15*115%</f>
        <v>26903.4588</v>
      </c>
      <c r="AU15" s="30">
        <f>AT15/AT$19</f>
        <v>3.2394366197183104E-2</v>
      </c>
      <c r="AV15" s="12">
        <f>U15*115%</f>
        <v>26903.4588</v>
      </c>
      <c r="AW15" s="30">
        <f>AV15/AV$19</f>
        <v>3.2394366197183104E-2</v>
      </c>
      <c r="AX15" s="12">
        <f>W15*115%</f>
        <v>27712.828799999999</v>
      </c>
      <c r="AY15" s="30">
        <f>AX15/AX$19</f>
        <v>3.2394366197183097E-2</v>
      </c>
      <c r="AZ15" s="12">
        <f>Y15*115%</f>
        <v>27712.828799999999</v>
      </c>
      <c r="BA15" s="30">
        <f>AZ15/AZ$19</f>
        <v>3.2394366197183097E-2</v>
      </c>
      <c r="BB15" s="84">
        <f t="shared" si="2"/>
        <v>323748.38873239444</v>
      </c>
      <c r="BC15" s="30">
        <f>BB15/BB$19</f>
        <v>3.2394362955792913E-2</v>
      </c>
    </row>
    <row r="16" spans="1:55" s="13" customFormat="1" ht="13" customHeight="1" x14ac:dyDescent="0.15">
      <c r="A16" s="3" t="s">
        <v>5</v>
      </c>
      <c r="B16" s="3"/>
      <c r="C16" s="12">
        <f>C6*$AA$16</f>
        <v>511803.36</v>
      </c>
      <c r="D16" s="30">
        <f>C16/$C$19</f>
        <v>0.60932057862170463</v>
      </c>
      <c r="E16" s="12">
        <f>E6*$AA$16</f>
        <v>524190.24</v>
      </c>
      <c r="F16" s="30">
        <f>E16/$E$19</f>
        <v>0.59292418581315831</v>
      </c>
      <c r="G16" s="12">
        <f>G6*$AA$16</f>
        <v>524190.24</v>
      </c>
      <c r="H16" s="30">
        <f>G16/$G$19</f>
        <v>0.57661850926476399</v>
      </c>
      <c r="I16" s="12">
        <f>I6*$AA$16</f>
        <v>411582.24</v>
      </c>
      <c r="J16" s="30">
        <f>I16/$I$19</f>
        <v>0.5597714911237075</v>
      </c>
      <c r="K16" s="12">
        <f>K6*$AA$16</f>
        <v>439734.24</v>
      </c>
      <c r="L16" s="30">
        <f>K16/$K$19</f>
        <v>0.56468828381530833</v>
      </c>
      <c r="M16" s="12">
        <f>M6*$AA$16</f>
        <v>439734.24</v>
      </c>
      <c r="N16" s="30">
        <f>M16/$M$19</f>
        <v>0.56468828381530833</v>
      </c>
      <c r="O16" s="12">
        <f>O6*$AA$16</f>
        <v>439734.24</v>
      </c>
      <c r="P16" s="30">
        <f>O16/$O$19</f>
        <v>0.56468828381530833</v>
      </c>
      <c r="Q16" s="12">
        <f>Q6*$AA$16</f>
        <v>439734.24</v>
      </c>
      <c r="R16" s="30">
        <f>Q16/$Q$19</f>
        <v>0.56468828381530833</v>
      </c>
      <c r="S16" s="12">
        <f>S6*$AA$16</f>
        <v>467886.24</v>
      </c>
      <c r="T16" s="30">
        <f>S16/$S$19</f>
        <v>0.56908536915452879</v>
      </c>
      <c r="U16" s="12">
        <f>U6*$AA$16</f>
        <v>467886.24</v>
      </c>
      <c r="V16" s="30">
        <f>U16/$U$19</f>
        <v>0.56908536915452879</v>
      </c>
      <c r="W16" s="12">
        <f>W6*$AA$16</f>
        <v>481962.23999999999</v>
      </c>
      <c r="X16" s="30">
        <f>W16/$W$19</f>
        <v>0.57111410863071865</v>
      </c>
      <c r="Y16" s="12">
        <f>Y6*$AA$16</f>
        <v>481962.23999999999</v>
      </c>
      <c r="Z16" s="30">
        <f>Y16/$Y$19</f>
        <v>0.57111410863071865</v>
      </c>
      <c r="AA16" s="29">
        <f>'Sales and Assumptions'!J28+'Sales and Assumptions'!K28+'Sales and Assumptions'!I28</f>
        <v>5630400</v>
      </c>
      <c r="AB16" s="30">
        <f>AA16/$AA$19</f>
        <v>0.57362905822267274</v>
      </c>
      <c r="AC16" s="12">
        <f t="shared" si="3"/>
        <v>588573.86399999994</v>
      </c>
      <c r="AD16" s="30">
        <f>AC16/$AC$19</f>
        <v>0.647887323943662</v>
      </c>
      <c r="AE16" s="12">
        <f t="shared" si="3"/>
        <v>602818.77599999995</v>
      </c>
      <c r="AF16" s="30">
        <f>AE16/$AE$19</f>
        <v>0.64788732394366189</v>
      </c>
      <c r="AG16" s="12">
        <f t="shared" si="3"/>
        <v>602818.77599999995</v>
      </c>
      <c r="AH16" s="30">
        <f>AG16/$AG$19</f>
        <v>0.64788732394366189</v>
      </c>
      <c r="AI16" s="12">
        <f t="shared" si="3"/>
        <v>473319.57599999994</v>
      </c>
      <c r="AJ16" s="30">
        <f>AI16/$AI$19</f>
        <v>0.647887323943662</v>
      </c>
      <c r="AK16" s="12">
        <f t="shared" si="3"/>
        <v>505694.37599999993</v>
      </c>
      <c r="AL16" s="30">
        <f>AK16/$AK$19</f>
        <v>0.64788732394366189</v>
      </c>
      <c r="AM16" s="31">
        <v>0.10787783701257887</v>
      </c>
      <c r="AN16" s="12">
        <f t="shared" si="18"/>
        <v>505694.37599999993</v>
      </c>
      <c r="AO16" s="30">
        <f>AN16/$AN$19</f>
        <v>0.64788732394366189</v>
      </c>
      <c r="AP16" s="12">
        <f t="shared" si="18"/>
        <v>505694.37599999993</v>
      </c>
      <c r="AQ16" s="30">
        <f>AP16/$AP$19</f>
        <v>0.64788732394366189</v>
      </c>
      <c r="AR16" s="12">
        <f t="shared" si="18"/>
        <v>505694.37599999993</v>
      </c>
      <c r="AS16" s="30">
        <f>AR16/$AR$19</f>
        <v>0.64788732394366189</v>
      </c>
      <c r="AT16" s="12">
        <f t="shared" si="18"/>
        <v>538069.17599999998</v>
      </c>
      <c r="AU16" s="30">
        <f>AT16/$AT$19</f>
        <v>0.647887323943662</v>
      </c>
      <c r="AV16" s="12">
        <f t="shared" si="18"/>
        <v>538069.17599999998</v>
      </c>
      <c r="AW16" s="30">
        <f>AV16/$AV$19</f>
        <v>0.647887323943662</v>
      </c>
      <c r="AX16" s="12">
        <f t="shared" si="18"/>
        <v>554256.576</v>
      </c>
      <c r="AY16" s="30">
        <f>AX16/$AX$19</f>
        <v>0.647887323943662</v>
      </c>
      <c r="AZ16" s="12">
        <f t="shared" si="18"/>
        <v>554256.576</v>
      </c>
      <c r="BA16" s="30">
        <f>AZ16/$AZ$19</f>
        <v>0.647887323943662</v>
      </c>
      <c r="BB16" s="84">
        <f t="shared" si="2"/>
        <v>6474967.8825257253</v>
      </c>
      <c r="BC16" s="30">
        <f>BB16/$BB$19</f>
        <v>0.64788726991014767</v>
      </c>
    </row>
    <row r="17" spans="1:55" s="13" customFormat="1" ht="12" customHeight="1" x14ac:dyDescent="0.15">
      <c r="A17" s="3"/>
      <c r="B17" s="3"/>
      <c r="C17" s="12"/>
      <c r="D17" s="30"/>
      <c r="E17" s="12"/>
      <c r="F17" s="30"/>
      <c r="G17" s="12"/>
      <c r="H17" s="30"/>
      <c r="I17" s="12"/>
      <c r="J17" s="30"/>
      <c r="K17" s="12"/>
      <c r="L17" s="30"/>
      <c r="M17" s="12"/>
      <c r="N17" s="30"/>
      <c r="O17" s="12"/>
      <c r="P17" s="30"/>
      <c r="Q17" s="12"/>
      <c r="R17" s="30"/>
      <c r="S17" s="12"/>
      <c r="T17" s="30"/>
      <c r="U17" s="12"/>
      <c r="V17" s="30"/>
      <c r="W17" s="12"/>
      <c r="X17" s="30"/>
      <c r="Y17" s="12"/>
      <c r="Z17" s="30"/>
      <c r="AA17" s="29"/>
      <c r="AB17" s="30"/>
      <c r="AC17" s="12"/>
      <c r="AD17" s="30"/>
      <c r="AE17" s="12"/>
      <c r="AF17" s="30"/>
      <c r="AG17" s="12"/>
      <c r="AH17" s="30"/>
      <c r="AI17" s="12"/>
      <c r="AJ17" s="30"/>
      <c r="AK17" s="12"/>
      <c r="AL17" s="30"/>
      <c r="AM17" s="31"/>
      <c r="AN17" s="12"/>
      <c r="AO17" s="30"/>
      <c r="AP17" s="12"/>
      <c r="AQ17" s="30"/>
      <c r="AR17" s="12"/>
      <c r="AS17" s="30"/>
      <c r="AT17" s="12"/>
      <c r="AU17" s="30"/>
      <c r="AV17" s="12"/>
      <c r="AW17" s="30"/>
      <c r="AX17" s="12"/>
      <c r="AY17" s="30"/>
      <c r="AZ17" s="12"/>
      <c r="BA17" s="30"/>
      <c r="BB17" s="84"/>
      <c r="BC17" s="30"/>
    </row>
    <row r="18" spans="1:55" s="13" customFormat="1" ht="11" x14ac:dyDescent="0.15">
      <c r="A18" s="3" t="s">
        <v>131</v>
      </c>
      <c r="B18" s="3"/>
      <c r="C18" s="12">
        <v>50000</v>
      </c>
      <c r="D18" s="30">
        <f>C18/$C$19</f>
        <v>5.9526824777166823E-2</v>
      </c>
      <c r="E18" s="12">
        <v>75000</v>
      </c>
      <c r="F18" s="30">
        <f>E18/$C$19</f>
        <v>8.9290237165750228E-2</v>
      </c>
      <c r="G18" s="12">
        <v>100000</v>
      </c>
      <c r="H18" s="30">
        <f>G18/$C$19</f>
        <v>0.11905364955433365</v>
      </c>
      <c r="I18" s="12">
        <v>100000</v>
      </c>
      <c r="J18" s="30">
        <f>I18/$C$19</f>
        <v>0.11905364955433365</v>
      </c>
      <c r="K18" s="12">
        <v>100000</v>
      </c>
      <c r="L18" s="30">
        <f>K18/$C$19</f>
        <v>0.11905364955433365</v>
      </c>
      <c r="M18" s="12">
        <v>100000</v>
      </c>
      <c r="N18" s="30">
        <f>M18/$C$19</f>
        <v>0.11905364955433365</v>
      </c>
      <c r="O18" s="12">
        <v>100000</v>
      </c>
      <c r="P18" s="30">
        <f>O18/$C$19</f>
        <v>0.11905364955433365</v>
      </c>
      <c r="Q18" s="12">
        <v>100000</v>
      </c>
      <c r="R18" s="30">
        <f>Q18/$C$19</f>
        <v>0.11905364955433365</v>
      </c>
      <c r="S18" s="12">
        <v>100000</v>
      </c>
      <c r="T18" s="30">
        <f>S18/$C$19</f>
        <v>0.11905364955433365</v>
      </c>
      <c r="U18" s="12">
        <v>100000</v>
      </c>
      <c r="V18" s="30">
        <f>U18/$C$19</f>
        <v>0.11905364955433365</v>
      </c>
      <c r="W18" s="12">
        <v>100000</v>
      </c>
      <c r="X18" s="30">
        <f>W18/$C$19</f>
        <v>0.11905364955433365</v>
      </c>
      <c r="Y18" s="12">
        <v>100000</v>
      </c>
      <c r="Z18" s="30">
        <f>Y18/$C$19</f>
        <v>0.11905364955433365</v>
      </c>
      <c r="AA18" s="12">
        <f>SUM(C18:Z18)</f>
        <v>1125001.3393535577</v>
      </c>
      <c r="AB18" s="30">
        <f>AA18/AA19</f>
        <v>0.11461591694952876</v>
      </c>
      <c r="AC18" s="12"/>
      <c r="AD18" s="30"/>
      <c r="AE18" s="12"/>
      <c r="AF18" s="30"/>
      <c r="AG18" s="12"/>
      <c r="AH18" s="30"/>
      <c r="AI18" s="12"/>
      <c r="AJ18" s="30"/>
      <c r="AK18" s="12"/>
      <c r="AL18" s="30"/>
      <c r="AM18" s="31"/>
      <c r="AN18" s="12"/>
      <c r="AO18" s="30"/>
      <c r="AP18" s="12"/>
      <c r="AQ18" s="30"/>
      <c r="AR18" s="12"/>
      <c r="AS18" s="30"/>
      <c r="AT18" s="12"/>
      <c r="AU18" s="30"/>
      <c r="AV18" s="12"/>
      <c r="AW18" s="30"/>
      <c r="AX18" s="12"/>
      <c r="AY18" s="30"/>
      <c r="AZ18" s="12"/>
      <c r="BA18" s="30"/>
      <c r="BB18" s="84"/>
      <c r="BC18" s="30"/>
    </row>
    <row r="19" spans="1:55" s="16" customFormat="1" ht="19" customHeight="1" x14ac:dyDescent="0.15">
      <c r="A19" s="32" t="s">
        <v>6</v>
      </c>
      <c r="B19" s="14"/>
      <c r="C19" s="33">
        <f>C10+C16+C18</f>
        <v>839957.45089999994</v>
      </c>
      <c r="D19" s="30">
        <f>C19/$C$19</f>
        <v>1</v>
      </c>
      <c r="E19" s="33">
        <f>E10+E16+E18</f>
        <v>884076.33309999993</v>
      </c>
      <c r="F19" s="30">
        <f>E19/$E$19</f>
        <v>1</v>
      </c>
      <c r="G19" s="33">
        <f>G10+G16+G18</f>
        <v>909076.33309999993</v>
      </c>
      <c r="H19" s="30">
        <f>G19/$G$19</f>
        <v>1</v>
      </c>
      <c r="I19" s="33">
        <f>I10+I16+I18</f>
        <v>735268.31309999991</v>
      </c>
      <c r="J19" s="30">
        <f>I19/$I$19</f>
        <v>1</v>
      </c>
      <c r="K19" s="33">
        <f>K10+K16+K18</f>
        <v>778720.31810000003</v>
      </c>
      <c r="L19" s="30">
        <f>K19/$K$19</f>
        <v>1</v>
      </c>
      <c r="M19" s="33">
        <f>M10+M16+M18</f>
        <v>778720.31810000003</v>
      </c>
      <c r="N19" s="30">
        <f>M19/$M$19</f>
        <v>1</v>
      </c>
      <c r="O19" s="33">
        <f>O10+O16+O18</f>
        <v>778720.31810000003</v>
      </c>
      <c r="P19" s="30">
        <f>O19/$O$19</f>
        <v>1</v>
      </c>
      <c r="Q19" s="33">
        <f>Q10+Q16+Q18</f>
        <v>778720.31810000003</v>
      </c>
      <c r="R19" s="30">
        <f>Q19/$Q$19</f>
        <v>1</v>
      </c>
      <c r="S19" s="33">
        <f>S10+S16+S18</f>
        <v>822172.32309999992</v>
      </c>
      <c r="T19" s="30">
        <f>S19/$S$19</f>
        <v>1</v>
      </c>
      <c r="U19" s="33">
        <f>U10+U16+U18</f>
        <v>822172.32309999992</v>
      </c>
      <c r="V19" s="30">
        <f>U19/$U$19</f>
        <v>1</v>
      </c>
      <c r="W19" s="33">
        <f>W10+W16+W18</f>
        <v>843898.32559999998</v>
      </c>
      <c r="X19" s="30">
        <f>W19/$W$19</f>
        <v>1</v>
      </c>
      <c r="Y19" s="33">
        <f>Y10+Y16+Y18</f>
        <v>843898.32559999998</v>
      </c>
      <c r="Z19" s="30">
        <f>Y19/$Y$19</f>
        <v>1</v>
      </c>
      <c r="AA19" s="33">
        <f>AA10+AA16+AA18</f>
        <v>9815402.3393535577</v>
      </c>
      <c r="AB19" s="30">
        <f>AA19/$AA$19</f>
        <v>1</v>
      </c>
      <c r="AC19" s="33">
        <f>AC10+AC16</f>
        <v>908450.96399999992</v>
      </c>
      <c r="AD19" s="30">
        <f>AC19/$AC$19</f>
        <v>1</v>
      </c>
      <c r="AE19" s="33">
        <f>AE10+AE16</f>
        <v>930437.67599999998</v>
      </c>
      <c r="AF19" s="30">
        <f>AE19/$AE$19</f>
        <v>1</v>
      </c>
      <c r="AG19" s="33">
        <f>AG10+AG16</f>
        <v>930437.67599999998</v>
      </c>
      <c r="AH19" s="30">
        <f>AG19/$AG$19</f>
        <v>1</v>
      </c>
      <c r="AI19" s="33">
        <f>AI10+AI16</f>
        <v>730558.47599999991</v>
      </c>
      <c r="AJ19" s="30">
        <f>AI19/$AI$19</f>
        <v>1</v>
      </c>
      <c r="AK19" s="33">
        <f>AK10+AK16</f>
        <v>780528.27599999995</v>
      </c>
      <c r="AL19" s="30">
        <f>AK19/$AK$19</f>
        <v>1</v>
      </c>
      <c r="AM19" s="34">
        <v>1</v>
      </c>
      <c r="AN19" s="33">
        <f>AN10+AN16</f>
        <v>780528.27599999995</v>
      </c>
      <c r="AO19" s="30">
        <f>AN19/$AN$19</f>
        <v>1</v>
      </c>
      <c r="AP19" s="33">
        <f>AP10+AP16</f>
        <v>780528.27599999995</v>
      </c>
      <c r="AQ19" s="30">
        <f>AP19/$AP$19</f>
        <v>1</v>
      </c>
      <c r="AR19" s="33">
        <f>AR10+AR16</f>
        <v>780528.27599999995</v>
      </c>
      <c r="AS19" s="30">
        <f>AR19/$AR$19</f>
        <v>1</v>
      </c>
      <c r="AT19" s="33">
        <f>AT10+AT16</f>
        <v>830498.07599999988</v>
      </c>
      <c r="AU19" s="30">
        <f>AT19/$AT$19</f>
        <v>1</v>
      </c>
      <c r="AV19" s="33">
        <f>AV10+AV16</f>
        <v>830498.07599999988</v>
      </c>
      <c r="AW19" s="30">
        <f>AV19/$AV$19</f>
        <v>1</v>
      </c>
      <c r="AX19" s="33">
        <f>AX10+AX16</f>
        <v>855482.97600000002</v>
      </c>
      <c r="AY19" s="30">
        <f>AX19/$AX$19</f>
        <v>1</v>
      </c>
      <c r="AZ19" s="33">
        <f>AZ10+AZ16</f>
        <v>855482.97600000002</v>
      </c>
      <c r="BA19" s="30">
        <f>AZ19/$AZ$19</f>
        <v>1</v>
      </c>
      <c r="BB19" s="86">
        <f t="shared" si="2"/>
        <v>9993972.9999999963</v>
      </c>
      <c r="BC19" s="30">
        <f>BB19/$BB$19</f>
        <v>1</v>
      </c>
    </row>
    <row r="20" spans="1:55" s="13" customFormat="1" ht="23" customHeight="1" x14ac:dyDescent="0.15">
      <c r="A20" s="3"/>
      <c r="B20" s="3"/>
      <c r="C20" s="12"/>
      <c r="D20" s="30"/>
      <c r="E20" s="12"/>
      <c r="F20" s="30"/>
      <c r="G20" s="12"/>
      <c r="H20" s="30"/>
      <c r="I20" s="12"/>
      <c r="J20" s="30"/>
      <c r="K20" s="12"/>
      <c r="L20" s="30"/>
      <c r="M20" s="12"/>
      <c r="N20" s="30"/>
      <c r="O20" s="12"/>
      <c r="P20" s="30"/>
      <c r="Q20" s="12"/>
      <c r="R20" s="30"/>
      <c r="S20" s="12"/>
      <c r="T20" s="30"/>
      <c r="U20" s="12"/>
      <c r="V20" s="30"/>
      <c r="W20" s="12"/>
      <c r="X20" s="30"/>
      <c r="Y20" s="12"/>
      <c r="Z20" s="30"/>
      <c r="AA20" s="29"/>
      <c r="AB20" s="30"/>
      <c r="AC20" s="12"/>
      <c r="AD20" s="30"/>
      <c r="AE20" s="12"/>
      <c r="AF20" s="30"/>
      <c r="AH20" s="30"/>
      <c r="AJ20" s="30"/>
      <c r="AL20" s="30"/>
      <c r="AM20" s="31"/>
      <c r="AO20" s="30"/>
      <c r="AQ20" s="30"/>
      <c r="AS20" s="30"/>
      <c r="AU20" s="30"/>
      <c r="AW20" s="30"/>
      <c r="AY20" s="30"/>
      <c r="BA20" s="30"/>
      <c r="BB20" s="84"/>
      <c r="BC20" s="30"/>
    </row>
    <row r="21" spans="1:55" s="13" customFormat="1" ht="28" customHeight="1" x14ac:dyDescent="0.15">
      <c r="A21" s="27" t="s">
        <v>7</v>
      </c>
      <c r="B21" s="3"/>
      <c r="C21" s="12"/>
      <c r="D21" s="30"/>
      <c r="E21" s="12"/>
      <c r="F21" s="30"/>
      <c r="G21" s="12"/>
      <c r="H21" s="30"/>
      <c r="I21" s="12"/>
      <c r="J21" s="30"/>
      <c r="K21" s="12"/>
      <c r="L21" s="30"/>
      <c r="M21" s="12"/>
      <c r="N21" s="30"/>
      <c r="O21" s="12"/>
      <c r="P21" s="30"/>
      <c r="Q21" s="12"/>
      <c r="R21" s="30"/>
      <c r="S21" s="12"/>
      <c r="T21" s="30"/>
      <c r="U21" s="12"/>
      <c r="V21" s="30"/>
      <c r="W21" s="12"/>
      <c r="X21" s="30"/>
      <c r="Y21" s="12"/>
      <c r="Z21" s="30"/>
      <c r="AA21" s="29"/>
      <c r="AB21" s="30"/>
      <c r="AC21" s="12"/>
      <c r="AD21" s="30"/>
      <c r="AE21" s="12"/>
      <c r="AF21" s="30"/>
      <c r="AH21" s="30"/>
      <c r="AJ21" s="30"/>
      <c r="AL21" s="30"/>
      <c r="AM21" s="31"/>
      <c r="AO21" s="30"/>
      <c r="AQ21" s="30"/>
      <c r="AS21" s="30"/>
      <c r="AU21" s="30"/>
      <c r="AW21" s="30"/>
      <c r="AY21" s="30"/>
      <c r="BA21" s="30"/>
      <c r="BB21" s="84"/>
      <c r="BC21" s="30"/>
    </row>
    <row r="22" spans="1:55" s="13" customFormat="1" ht="17" customHeight="1" x14ac:dyDescent="0.15">
      <c r="A22" s="3" t="s">
        <v>127</v>
      </c>
      <c r="B22" s="3"/>
      <c r="C22" s="12">
        <f t="shared" ref="C22:W22" si="47">(C8+C9+C7)*30%</f>
        <v>83446.2</v>
      </c>
      <c r="D22" s="30">
        <f>C22/$C$19</f>
        <v>9.9345746514408362E-2</v>
      </c>
      <c r="E22" s="12">
        <f t="shared" si="47"/>
        <v>85465.8</v>
      </c>
      <c r="F22" s="30">
        <f>E22/$E$19</f>
        <v>9.667242159997147E-2</v>
      </c>
      <c r="G22" s="12">
        <f t="shared" si="47"/>
        <v>85465.8</v>
      </c>
      <c r="H22" s="30">
        <f>G22/$G$19</f>
        <v>9.4013887380124575E-2</v>
      </c>
      <c r="I22" s="12">
        <f t="shared" si="47"/>
        <v>67105.8</v>
      </c>
      <c r="J22" s="30">
        <f>I22/$I$19</f>
        <v>9.1267090944082752E-2</v>
      </c>
      <c r="K22" s="12">
        <f t="shared" si="47"/>
        <v>71695.8</v>
      </c>
      <c r="L22" s="30">
        <f>K22/$K$19</f>
        <v>9.2068741926408973E-2</v>
      </c>
      <c r="M22" s="12">
        <f t="shared" si="47"/>
        <v>71695.8</v>
      </c>
      <c r="N22" s="30">
        <f>M22/$M$19</f>
        <v>9.2068741926408973E-2</v>
      </c>
      <c r="O22" s="12">
        <f t="shared" si="47"/>
        <v>71695.8</v>
      </c>
      <c r="P22" s="30">
        <f>O22/$O$19</f>
        <v>9.2068741926408973E-2</v>
      </c>
      <c r="Q22" s="12">
        <f t="shared" si="47"/>
        <v>71695.8</v>
      </c>
      <c r="R22" s="30">
        <f>Q22/$Q$19</f>
        <v>9.2068741926408973E-2</v>
      </c>
      <c r="S22" s="12">
        <f t="shared" si="47"/>
        <v>76285.8</v>
      </c>
      <c r="T22" s="30">
        <f>S22/$S$19</f>
        <v>9.2785658014325353E-2</v>
      </c>
      <c r="U22" s="12">
        <f t="shared" si="47"/>
        <v>76285.8</v>
      </c>
      <c r="V22" s="30">
        <f>U22/$U$19</f>
        <v>9.2785658014325353E-2</v>
      </c>
      <c r="W22" s="12">
        <f t="shared" si="47"/>
        <v>78580.800000000003</v>
      </c>
      <c r="X22" s="30">
        <f>W22/$W$19</f>
        <v>9.3116430755008486E-2</v>
      </c>
      <c r="Y22" s="12">
        <f>(Y8+Y9+Y7)*30%</f>
        <v>78580.800000000003</v>
      </c>
      <c r="Z22" s="30">
        <f>Y22/$Y$19</f>
        <v>9.3116430755008486E-2</v>
      </c>
      <c r="AA22" s="29">
        <f>SUM(C22:Y22)</f>
        <v>918001.02826186107</v>
      </c>
      <c r="AB22" s="30">
        <f>AA22/$AA$19</f>
        <v>9.3526581644163206E-2</v>
      </c>
      <c r="AC22" s="12">
        <f t="shared" ref="AC22:AI22" si="48">(AC8+AC9+AC7)*30%</f>
        <v>95963.12999999999</v>
      </c>
      <c r="AD22" s="30">
        <f>AC22/$AC$19</f>
        <v>0.10563380281690141</v>
      </c>
      <c r="AE22" s="12">
        <f t="shared" si="48"/>
        <v>98285.67</v>
      </c>
      <c r="AF22" s="30">
        <f>AE22/$AE$19</f>
        <v>0.10563380281690141</v>
      </c>
      <c r="AG22" s="12">
        <f t="shared" si="48"/>
        <v>98285.67</v>
      </c>
      <c r="AH22" s="30">
        <f>AG22/$AG$19</f>
        <v>0.10563380281690141</v>
      </c>
      <c r="AI22" s="12">
        <f t="shared" si="48"/>
        <v>77171.669999999984</v>
      </c>
      <c r="AJ22" s="30">
        <f>AI22/$AI$19</f>
        <v>0.10563380281690139</v>
      </c>
      <c r="AK22" s="12">
        <f t="shared" ref="AK22" si="49">(AK8+AK9+AK7)*30%</f>
        <v>82450.17</v>
      </c>
      <c r="AL22" s="30">
        <f>AK22/$AK$19</f>
        <v>0.10563380281690141</v>
      </c>
      <c r="AM22" s="31">
        <v>0.28976351334312356</v>
      </c>
      <c r="AN22" s="12">
        <f t="shared" ref="AN22" si="50">(AN8+AN9+AN7)*30%</f>
        <v>82450.17</v>
      </c>
      <c r="AO22" s="30">
        <f>AN22/$AN$19</f>
        <v>0.10563380281690141</v>
      </c>
      <c r="AP22" s="12">
        <f t="shared" ref="AP22" si="51">(AP8+AP9+AP7)*30%</f>
        <v>82450.17</v>
      </c>
      <c r="AQ22" s="30">
        <f>AP22/$AP$19</f>
        <v>0.10563380281690141</v>
      </c>
      <c r="AR22" s="12">
        <f t="shared" ref="AR22" si="52">(AR8+AR9+AR7)*30%</f>
        <v>82450.17</v>
      </c>
      <c r="AS22" s="30">
        <f>AR22/$AR$19</f>
        <v>0.10563380281690141</v>
      </c>
      <c r="AT22" s="12">
        <f t="shared" ref="AT22" si="53">(AT8+AT9+AT7)*30%</f>
        <v>87728.669999999984</v>
      </c>
      <c r="AU22" s="30">
        <f>AT22/$AT$19</f>
        <v>0.10563380281690141</v>
      </c>
      <c r="AV22" s="12">
        <f t="shared" ref="AV22" si="54">(AV8+AV9+AV7)*30%</f>
        <v>87728.669999999984</v>
      </c>
      <c r="AW22" s="30">
        <f>AV22/$AV$19</f>
        <v>0.10563380281690141</v>
      </c>
      <c r="AX22" s="12">
        <f t="shared" ref="AX22" si="55">(AX8+AX9+AX7)*30%</f>
        <v>90367.919999999984</v>
      </c>
      <c r="AY22" s="30">
        <f>AX22/$AX$19</f>
        <v>0.10563380281690139</v>
      </c>
      <c r="AZ22" s="12">
        <f t="shared" ref="AZ22" si="56">(AZ8+AZ9+AZ7)*30%</f>
        <v>90367.919999999984</v>
      </c>
      <c r="BA22" s="30">
        <f>AZ22/$AZ$19</f>
        <v>0.10563380281690139</v>
      </c>
      <c r="BB22" s="84">
        <f t="shared" si="2"/>
        <v>1055701.5573691474</v>
      </c>
      <c r="BC22" s="30">
        <f>BB22/$BB$19</f>
        <v>0.10563382124097671</v>
      </c>
    </row>
    <row r="23" spans="1:55" s="13" customFormat="1" ht="31" customHeight="1" x14ac:dyDescent="0.15">
      <c r="A23" s="3" t="s">
        <v>128</v>
      </c>
      <c r="B23" s="3"/>
      <c r="C23" s="12">
        <f>C16*21%</f>
        <v>107478.70559999999</v>
      </c>
      <c r="D23" s="30">
        <f>C23/$C$19</f>
        <v>0.12795732151055794</v>
      </c>
      <c r="E23" s="12">
        <f>E16*21%</f>
        <v>110079.95039999999</v>
      </c>
      <c r="F23" s="30">
        <f>E23/$E$19</f>
        <v>0.12451407902076322</v>
      </c>
      <c r="G23" s="12">
        <f>G16*21%</f>
        <v>110079.95039999999</v>
      </c>
      <c r="H23" s="30">
        <f>G23/$G$19</f>
        <v>0.12108988694560043</v>
      </c>
      <c r="I23" s="12">
        <f>I16*21%</f>
        <v>86432.270399999994</v>
      </c>
      <c r="J23" s="30">
        <f>I23/$I$19</f>
        <v>0.11755201313597857</v>
      </c>
      <c r="K23" s="12">
        <f>K16*21%</f>
        <v>92344.190399999992</v>
      </c>
      <c r="L23" s="30">
        <f>K23/$K$19</f>
        <v>0.11858453960121473</v>
      </c>
      <c r="M23" s="12">
        <f>M16*21%</f>
        <v>92344.190399999992</v>
      </c>
      <c r="N23" s="30">
        <f>M23/$M$19</f>
        <v>0.11858453960121473</v>
      </c>
      <c r="O23" s="12">
        <f>O16*21%</f>
        <v>92344.190399999992</v>
      </c>
      <c r="P23" s="30">
        <f>O23/$O$19</f>
        <v>0.11858453960121473</v>
      </c>
      <c r="Q23" s="12">
        <f>Q16*21%</f>
        <v>92344.190399999992</v>
      </c>
      <c r="R23" s="30">
        <f>Q23/$Q$19</f>
        <v>0.11858453960121473</v>
      </c>
      <c r="S23" s="12">
        <f>S16*21%</f>
        <v>98256.11039999999</v>
      </c>
      <c r="T23" s="30">
        <f>S23/$S$19</f>
        <v>0.11950792752245104</v>
      </c>
      <c r="U23" s="12">
        <f>U16*21%</f>
        <v>98256.11039999999</v>
      </c>
      <c r="V23" s="30">
        <f>U23/$U$19</f>
        <v>0.11950792752245104</v>
      </c>
      <c r="W23" s="12">
        <f>W16*21%</f>
        <v>101212.0704</v>
      </c>
      <c r="X23" s="30">
        <f>W23/$W$19</f>
        <v>0.11993396281245092</v>
      </c>
      <c r="Y23" s="12">
        <f>Y16*21%</f>
        <v>101212.0704</v>
      </c>
      <c r="Z23" s="30">
        <f>Y23/$Y$19</f>
        <v>0.11993396281245092</v>
      </c>
      <c r="AA23" s="29">
        <f>SUM(C23:Y23)</f>
        <v>1182385.3244012769</v>
      </c>
      <c r="AB23" s="30">
        <f>AA23/$AA$19</f>
        <v>0.1204622371576822</v>
      </c>
      <c r="AC23" s="12">
        <f t="shared" ref="AC23:AI23" si="57">AC16*20%</f>
        <v>117714.77279999999</v>
      </c>
      <c r="AD23" s="30">
        <f>AC23/$AC$19</f>
        <v>0.12957746478873239</v>
      </c>
      <c r="AE23" s="12">
        <f t="shared" si="57"/>
        <v>120563.7552</v>
      </c>
      <c r="AF23" s="30">
        <f>AE23/$AE$19</f>
        <v>0.12957746478873239</v>
      </c>
      <c r="AG23" s="12">
        <f t="shared" si="57"/>
        <v>120563.7552</v>
      </c>
      <c r="AH23" s="30">
        <f>AG23/$AG$19</f>
        <v>0.12957746478873239</v>
      </c>
      <c r="AI23" s="12">
        <f t="shared" si="57"/>
        <v>94663.915199999989</v>
      </c>
      <c r="AJ23" s="30">
        <f>AI23/$AI$19</f>
        <v>0.12957746478873239</v>
      </c>
      <c r="AK23" s="12">
        <f t="shared" ref="AK23" si="58">AK16*20%</f>
        <v>101138.87519999999</v>
      </c>
      <c r="AL23" s="30">
        <f>AK23/$AK$19</f>
        <v>0.12957746478873239</v>
      </c>
      <c r="AM23" s="31">
        <v>0.28976351334312356</v>
      </c>
      <c r="AN23" s="12">
        <f t="shared" ref="AN23" si="59">AN16*20%</f>
        <v>101138.87519999999</v>
      </c>
      <c r="AO23" s="30">
        <f>AN23/$AN$19</f>
        <v>0.12957746478873239</v>
      </c>
      <c r="AP23" s="12">
        <f t="shared" ref="AP23" si="60">AP16*20%</f>
        <v>101138.87519999999</v>
      </c>
      <c r="AQ23" s="30">
        <f>AP23/$AP$19</f>
        <v>0.12957746478873239</v>
      </c>
      <c r="AR23" s="12">
        <f t="shared" ref="AR23" si="61">AR16*20%</f>
        <v>101138.87519999999</v>
      </c>
      <c r="AS23" s="30">
        <f>AR23/$AR$19</f>
        <v>0.12957746478873239</v>
      </c>
      <c r="AT23" s="12">
        <f t="shared" ref="AT23" si="62">AT16*20%</f>
        <v>107613.8352</v>
      </c>
      <c r="AU23" s="30">
        <f>AT23/$AT$19</f>
        <v>0.12957746478873242</v>
      </c>
      <c r="AV23" s="12">
        <f t="shared" ref="AV23" si="63">AV16*20%</f>
        <v>107613.8352</v>
      </c>
      <c r="AW23" s="30">
        <f>AV23/$AV$19</f>
        <v>0.12957746478873242</v>
      </c>
      <c r="AX23" s="12">
        <f t="shared" ref="AX23" si="64">AX16*20%</f>
        <v>110851.31520000001</v>
      </c>
      <c r="AY23" s="30">
        <f>AX23/$AX$19</f>
        <v>0.12957746478873242</v>
      </c>
      <c r="AZ23" s="12">
        <f t="shared" ref="AZ23" si="65">AZ16*20%</f>
        <v>110851.31520000001</v>
      </c>
      <c r="BA23" s="30">
        <f>AZ23/$AZ$19</f>
        <v>0.12957746478873242</v>
      </c>
      <c r="BB23" s="84">
        <f t="shared" si="2"/>
        <v>1294993.8446930912</v>
      </c>
      <c r="BC23" s="30">
        <f>BB23/$BB$19</f>
        <v>0.12957748081699758</v>
      </c>
    </row>
    <row r="24" spans="1:55" s="16" customFormat="1" ht="22" customHeight="1" x14ac:dyDescent="0.15">
      <c r="A24" s="32" t="s">
        <v>56</v>
      </c>
      <c r="B24" s="14"/>
      <c r="C24" s="33">
        <f t="shared" ref="C24:Y24" si="66">SUM(C22:C23)</f>
        <v>190924.9056</v>
      </c>
      <c r="D24" s="30">
        <f>C24/$C$19</f>
        <v>0.22730306802496633</v>
      </c>
      <c r="E24" s="33">
        <f t="shared" si="66"/>
        <v>195545.75039999999</v>
      </c>
      <c r="F24" s="30">
        <f>E24/$E$19</f>
        <v>0.22118650062073469</v>
      </c>
      <c r="G24" s="33">
        <f t="shared" si="66"/>
        <v>195545.75039999999</v>
      </c>
      <c r="H24" s="30">
        <f>G24/$G$19</f>
        <v>0.215103774325725</v>
      </c>
      <c r="I24" s="33">
        <f t="shared" si="66"/>
        <v>153538.0704</v>
      </c>
      <c r="J24" s="30">
        <f>I24/$I$19</f>
        <v>0.20881910408006132</v>
      </c>
      <c r="K24" s="33">
        <f t="shared" si="66"/>
        <v>164039.99040000001</v>
      </c>
      <c r="L24" s="30">
        <f>K24/$K$19</f>
        <v>0.21065328152762372</v>
      </c>
      <c r="M24" s="33">
        <f t="shared" si="66"/>
        <v>164039.99040000001</v>
      </c>
      <c r="N24" s="30">
        <f>M24/$M$19</f>
        <v>0.21065328152762372</v>
      </c>
      <c r="O24" s="33">
        <f t="shared" si="66"/>
        <v>164039.99040000001</v>
      </c>
      <c r="P24" s="30">
        <f>O24/$O$19</f>
        <v>0.21065328152762372</v>
      </c>
      <c r="Q24" s="33">
        <f t="shared" si="66"/>
        <v>164039.99040000001</v>
      </c>
      <c r="R24" s="30">
        <f>Q24/$Q$19</f>
        <v>0.21065328152762372</v>
      </c>
      <c r="S24" s="33">
        <f t="shared" si="66"/>
        <v>174541.91039999999</v>
      </c>
      <c r="T24" s="30">
        <f>S24/$S$19</f>
        <v>0.21229358553677641</v>
      </c>
      <c r="U24" s="33">
        <f t="shared" si="66"/>
        <v>174541.91039999999</v>
      </c>
      <c r="V24" s="30">
        <f>U24/$U$19</f>
        <v>0.21229358553677641</v>
      </c>
      <c r="W24" s="33">
        <f t="shared" si="66"/>
        <v>179792.87040000001</v>
      </c>
      <c r="X24" s="30">
        <f>W24/$W$19</f>
        <v>0.21305039356745942</v>
      </c>
      <c r="Y24" s="33">
        <f t="shared" si="66"/>
        <v>179792.87040000001</v>
      </c>
      <c r="Z24" s="30">
        <f>Y24/$Y$19</f>
        <v>0.21305039356745942</v>
      </c>
      <c r="AA24" s="37">
        <f>SUM(C24:Y24)</f>
        <v>2100386.352663138</v>
      </c>
      <c r="AB24" s="30">
        <f>AA24/$AA$19</f>
        <v>0.21398881880184539</v>
      </c>
      <c r="AC24" s="33">
        <f t="shared" ref="AC24:AI24" si="67">SUM(AC22:AC23)</f>
        <v>213677.90279999998</v>
      </c>
      <c r="AD24" s="30">
        <f>AC24/$AC$19</f>
        <v>0.23521126760563379</v>
      </c>
      <c r="AE24" s="33">
        <f t="shared" si="67"/>
        <v>218849.4252</v>
      </c>
      <c r="AF24" s="30">
        <f>AE24/$AE$19</f>
        <v>0.23521126760563379</v>
      </c>
      <c r="AG24" s="33">
        <f t="shared" si="67"/>
        <v>218849.4252</v>
      </c>
      <c r="AH24" s="30">
        <f>AG24/$AG$19</f>
        <v>0.23521126760563379</v>
      </c>
      <c r="AI24" s="33">
        <f t="shared" si="67"/>
        <v>171835.58519999997</v>
      </c>
      <c r="AJ24" s="30">
        <f>AI24/$AI$19</f>
        <v>0.23521126760563379</v>
      </c>
      <c r="AK24" s="33">
        <f t="shared" ref="AK24" si="68">SUM(AK22:AK23)</f>
        <v>183589.04519999999</v>
      </c>
      <c r="AL24" s="30">
        <f>AK24/$AK$19</f>
        <v>0.23521126760563379</v>
      </c>
      <c r="AM24" s="34">
        <v>0.28976351334312356</v>
      </c>
      <c r="AN24" s="33">
        <f t="shared" ref="AN24" si="69">SUM(AN22:AN23)</f>
        <v>183589.04519999999</v>
      </c>
      <c r="AO24" s="30">
        <f>AN24/$AN$19</f>
        <v>0.23521126760563379</v>
      </c>
      <c r="AP24" s="33">
        <f t="shared" ref="AP24" si="70">SUM(AP22:AP23)</f>
        <v>183589.04519999999</v>
      </c>
      <c r="AQ24" s="30">
        <f>AP24/$AP$19</f>
        <v>0.23521126760563379</v>
      </c>
      <c r="AR24" s="33">
        <f t="shared" ref="AR24" si="71">SUM(AR22:AR23)</f>
        <v>183589.04519999999</v>
      </c>
      <c r="AS24" s="30">
        <f>AR24/$AR$19</f>
        <v>0.23521126760563379</v>
      </c>
      <c r="AT24" s="33">
        <f t="shared" ref="AT24" si="72">SUM(AT22:AT23)</f>
        <v>195342.50519999999</v>
      </c>
      <c r="AU24" s="30">
        <f>AT24/$AT$19</f>
        <v>0.23521126760563382</v>
      </c>
      <c r="AV24" s="33">
        <f t="shared" ref="AV24" si="73">SUM(AV22:AV23)</f>
        <v>195342.50519999999</v>
      </c>
      <c r="AW24" s="30">
        <f>AV24/$AV$19</f>
        <v>0.23521126760563382</v>
      </c>
      <c r="AX24" s="33">
        <f t="shared" ref="AX24" si="74">SUM(AX22:AX23)</f>
        <v>201219.2352</v>
      </c>
      <c r="AY24" s="30">
        <f>AX24/$AX$19</f>
        <v>0.23521126760563379</v>
      </c>
      <c r="AZ24" s="33">
        <f t="shared" ref="AZ24" si="75">SUM(AZ22:AZ23)</f>
        <v>201219.2352</v>
      </c>
      <c r="BA24" s="30">
        <f>AZ24/$AZ$19</f>
        <v>0.23521126760563379</v>
      </c>
      <c r="BB24" s="86">
        <f t="shared" si="2"/>
        <v>2350695.1122987242</v>
      </c>
      <c r="BC24" s="30">
        <f>BB24/$BB$19</f>
        <v>0.23521127306414827</v>
      </c>
    </row>
    <row r="25" spans="1:55" s="13" customFormat="1" ht="21" customHeight="1" x14ac:dyDescent="0.15">
      <c r="A25" s="3"/>
      <c r="B25" s="3"/>
      <c r="C25" s="35"/>
      <c r="D25" s="30"/>
      <c r="E25" s="35"/>
      <c r="F25" s="30"/>
      <c r="G25" s="35"/>
      <c r="H25" s="30"/>
      <c r="I25" s="35"/>
      <c r="J25" s="30"/>
      <c r="K25" s="12"/>
      <c r="L25" s="30"/>
      <c r="M25" s="12"/>
      <c r="N25" s="30"/>
      <c r="O25" s="12"/>
      <c r="P25" s="30"/>
      <c r="Q25" s="12"/>
      <c r="R25" s="30"/>
      <c r="S25" s="12"/>
      <c r="T25" s="30"/>
      <c r="U25" s="12"/>
      <c r="V25" s="30"/>
      <c r="W25" s="12"/>
      <c r="X25" s="30"/>
      <c r="Y25" s="12"/>
      <c r="Z25" s="30"/>
      <c r="AA25" s="29"/>
      <c r="AB25" s="30"/>
      <c r="AC25" s="12"/>
      <c r="AD25" s="30"/>
      <c r="AE25" s="12"/>
      <c r="AF25" s="30"/>
      <c r="AH25" s="30"/>
      <c r="AJ25" s="30"/>
      <c r="AL25" s="30"/>
      <c r="AM25" s="31"/>
      <c r="AO25" s="30"/>
      <c r="AQ25" s="30"/>
      <c r="AS25" s="30"/>
      <c r="AU25" s="30"/>
      <c r="AW25" s="30"/>
      <c r="AY25" s="30"/>
      <c r="BA25" s="30"/>
      <c r="BB25" s="84"/>
      <c r="BC25" s="30"/>
    </row>
    <row r="26" spans="1:55" s="13" customFormat="1" ht="11" x14ac:dyDescent="0.15">
      <c r="A26" s="27" t="s">
        <v>88</v>
      </c>
      <c r="B26" s="3"/>
      <c r="C26" s="12"/>
      <c r="D26" s="30"/>
      <c r="E26" s="12"/>
      <c r="F26" s="30"/>
      <c r="G26" s="12"/>
      <c r="H26" s="30"/>
      <c r="I26" s="12"/>
      <c r="J26" s="30"/>
      <c r="K26" s="12"/>
      <c r="L26" s="30"/>
      <c r="M26" s="12"/>
      <c r="N26" s="30"/>
      <c r="O26" s="12"/>
      <c r="P26" s="30"/>
      <c r="Q26" s="12"/>
      <c r="R26" s="30"/>
      <c r="S26" s="12"/>
      <c r="T26" s="30"/>
      <c r="U26" s="12"/>
      <c r="V26" s="30"/>
      <c r="W26" s="12"/>
      <c r="X26" s="30"/>
      <c r="Y26" s="12"/>
      <c r="Z26" s="30"/>
      <c r="AA26" s="29"/>
      <c r="AB26" s="30"/>
      <c r="AC26" s="12"/>
      <c r="AD26" s="30"/>
      <c r="AE26" s="12"/>
      <c r="AF26" s="30"/>
      <c r="AH26" s="30"/>
      <c r="AJ26" s="30"/>
      <c r="AL26" s="30"/>
      <c r="AM26" s="31"/>
      <c r="AO26" s="30"/>
      <c r="AQ26" s="30"/>
      <c r="AS26" s="30"/>
      <c r="AU26" s="30"/>
      <c r="AW26" s="30"/>
      <c r="AY26" s="30"/>
      <c r="BA26" s="30"/>
      <c r="BB26" s="84"/>
      <c r="BC26" s="30"/>
    </row>
    <row r="27" spans="1:55" s="13" customFormat="1" ht="11" outlineLevel="1" x14ac:dyDescent="0.15">
      <c r="A27" s="74" t="s">
        <v>86</v>
      </c>
      <c r="B27" s="3"/>
      <c r="C27" s="12"/>
      <c r="D27" s="30"/>
      <c r="E27" s="12"/>
      <c r="F27" s="30"/>
      <c r="G27" s="12"/>
      <c r="H27" s="30"/>
      <c r="I27" s="12"/>
      <c r="J27" s="30"/>
      <c r="K27" s="12"/>
      <c r="L27" s="30"/>
      <c r="M27" s="12"/>
      <c r="N27" s="30"/>
      <c r="O27" s="12"/>
      <c r="P27" s="30"/>
      <c r="Q27" s="12"/>
      <c r="R27" s="30"/>
      <c r="S27" s="12"/>
      <c r="T27" s="30"/>
      <c r="U27" s="12"/>
      <c r="V27" s="30"/>
      <c r="W27" s="12"/>
      <c r="X27" s="30"/>
      <c r="Y27" s="12"/>
      <c r="Z27" s="30"/>
      <c r="AA27" s="29"/>
      <c r="AB27" s="30"/>
      <c r="AC27" s="12"/>
      <c r="AD27" s="30"/>
      <c r="AE27" s="12"/>
      <c r="AF27" s="30"/>
      <c r="AG27" s="12"/>
      <c r="AH27" s="30"/>
      <c r="AI27" s="12"/>
      <c r="AJ27" s="30"/>
      <c r="AK27" s="12"/>
      <c r="AL27" s="30"/>
      <c r="AM27" s="31"/>
      <c r="AN27" s="12"/>
      <c r="AO27" s="30"/>
      <c r="AP27" s="12"/>
      <c r="AQ27" s="30"/>
      <c r="AR27" s="12"/>
      <c r="AS27" s="30"/>
      <c r="AT27" s="12"/>
      <c r="AU27" s="30"/>
      <c r="AV27" s="12"/>
      <c r="AW27" s="30"/>
      <c r="AX27" s="12"/>
      <c r="AY27" s="30"/>
      <c r="AZ27" s="12"/>
      <c r="BA27" s="30"/>
      <c r="BB27" s="84"/>
      <c r="BC27" s="30"/>
    </row>
    <row r="28" spans="1:55" s="13" customFormat="1" ht="18" customHeight="1" outlineLevel="1" x14ac:dyDescent="0.15">
      <c r="A28" s="3" t="s">
        <v>73</v>
      </c>
      <c r="B28" s="3"/>
      <c r="C28" s="12">
        <f>C19*43%</f>
        <v>361181.70388699998</v>
      </c>
      <c r="D28" s="30">
        <f>C28/$C$19</f>
        <v>0.43</v>
      </c>
      <c r="E28" s="12">
        <f>E19*43%</f>
        <v>380152.82323299994</v>
      </c>
      <c r="F28" s="30">
        <f>E28/$E$19</f>
        <v>0.43</v>
      </c>
      <c r="G28" s="12">
        <f>G19*43%</f>
        <v>390902.82323299994</v>
      </c>
      <c r="H28" s="30">
        <f>G28/$G$19</f>
        <v>0.43</v>
      </c>
      <c r="I28" s="12">
        <f>I19*41%</f>
        <v>301460.00837099995</v>
      </c>
      <c r="J28" s="30">
        <f>I28/$I$19</f>
        <v>0.41</v>
      </c>
      <c r="K28" s="12">
        <f>K19*41%</f>
        <v>319275.33042100002</v>
      </c>
      <c r="L28" s="30">
        <f>K28/$K$19</f>
        <v>0.41000000000000003</v>
      </c>
      <c r="M28" s="12">
        <f>M19*41%</f>
        <v>319275.33042100002</v>
      </c>
      <c r="N28" s="30">
        <f>M28/$M$19</f>
        <v>0.41000000000000003</v>
      </c>
      <c r="O28" s="12">
        <f>O19*41%</f>
        <v>319275.33042100002</v>
      </c>
      <c r="P28" s="30">
        <f>O28/$O$19</f>
        <v>0.41000000000000003</v>
      </c>
      <c r="Q28" s="12">
        <f>Q19*40%</f>
        <v>311488.12724</v>
      </c>
      <c r="R28" s="30">
        <f>Q28/$Q$19</f>
        <v>0.39999999999999997</v>
      </c>
      <c r="S28" s="12">
        <f>S19*40%</f>
        <v>328868.92923999997</v>
      </c>
      <c r="T28" s="30">
        <f>S28/$S$19</f>
        <v>0.4</v>
      </c>
      <c r="U28" s="12">
        <f>U19*40%</f>
        <v>328868.92923999997</v>
      </c>
      <c r="V28" s="30">
        <f>U28/$U$19</f>
        <v>0.4</v>
      </c>
      <c r="W28" s="12">
        <f>(W19*38%)</f>
        <v>320681.36372800003</v>
      </c>
      <c r="X28" s="30">
        <f>W28/$W$19</f>
        <v>0.38000000000000006</v>
      </c>
      <c r="Y28" s="12">
        <f>(Y19*38%)+100</f>
        <v>320781.36372800003</v>
      </c>
      <c r="Z28" s="30">
        <f>Y28/$Y$19</f>
        <v>0.38011849768741862</v>
      </c>
      <c r="AA28" s="29">
        <f>SUM(C28:Y28)</f>
        <v>4002216.573162999</v>
      </c>
      <c r="AB28" s="30">
        <f>AA28/$AA$19</f>
        <v>0.40774860110590078</v>
      </c>
      <c r="AC28" s="12">
        <f>(AC19*44.7%)+100</f>
        <v>406177.58090799995</v>
      </c>
      <c r="AD28" s="30">
        <f>AC28/$AC$19</f>
        <v>0.44711007748790277</v>
      </c>
      <c r="AE28" s="12">
        <f>(AE19*44.7%)+100</f>
        <v>416005.64117199997</v>
      </c>
      <c r="AF28" s="30">
        <f>AE28/$AE$19</f>
        <v>0.44710747630129283</v>
      </c>
      <c r="AG28" s="12">
        <f>(AG19*44.7%)</f>
        <v>415905.64117199997</v>
      </c>
      <c r="AH28" s="30">
        <f>AG28/$AG$19</f>
        <v>0.44700000000000001</v>
      </c>
      <c r="AI28" s="12">
        <f>(AI19*44.7%)</f>
        <v>326559.63877199998</v>
      </c>
      <c r="AJ28" s="30">
        <f>AI28/$AI$19</f>
        <v>0.44700000000000001</v>
      </c>
      <c r="AK28" s="12">
        <f>(AK19*44.7%)</f>
        <v>348896.13937200001</v>
      </c>
      <c r="AL28" s="30">
        <f>AK28/$AK$19</f>
        <v>0.44700000000000001</v>
      </c>
      <c r="AM28" s="31">
        <v>0.231158919207717</v>
      </c>
      <c r="AN28" s="12">
        <f>(AN19*44.7%)</f>
        <v>348896.13937200001</v>
      </c>
      <c r="AO28" s="30">
        <f>AN28/$AN$19</f>
        <v>0.44700000000000001</v>
      </c>
      <c r="AP28" s="12">
        <f>(AP19*44.7%)</f>
        <v>348896.13937200001</v>
      </c>
      <c r="AQ28" s="30">
        <f>AP28/$AP$19</f>
        <v>0.44700000000000001</v>
      </c>
      <c r="AR28" s="12">
        <f>(AR19*44.7%)</f>
        <v>348896.13937200001</v>
      </c>
      <c r="AS28" s="30">
        <f>AR28/$AR$19</f>
        <v>0.44700000000000001</v>
      </c>
      <c r="AT28" s="12">
        <f>(AT19*44.7%)</f>
        <v>371232.63997199998</v>
      </c>
      <c r="AU28" s="30">
        <f>AT28/$AT$19</f>
        <v>0.44700000000000001</v>
      </c>
      <c r="AV28" s="12">
        <f>(AV19*44.7%)</f>
        <v>371232.63997199998</v>
      </c>
      <c r="AW28" s="30">
        <f>AV28/$AV$19</f>
        <v>0.44700000000000001</v>
      </c>
      <c r="AX28" s="12">
        <f>(AX19*44.7%)</f>
        <v>382400.89027199999</v>
      </c>
      <c r="AY28" s="30">
        <f>AX28/$AX$19</f>
        <v>0.44699999999999995</v>
      </c>
      <c r="AZ28" s="12">
        <f>(AZ19*44.7%)</f>
        <v>382400.89027199999</v>
      </c>
      <c r="BA28" s="30">
        <f>AZ28/$AZ$19</f>
        <v>0.44699999999999995</v>
      </c>
      <c r="BB28" s="84">
        <f t="shared" si="2"/>
        <v>4467505.715376473</v>
      </c>
      <c r="BC28" s="30">
        <f>BB28/$BB$19</f>
        <v>0.44701999048591334</v>
      </c>
    </row>
    <row r="29" spans="1:55" s="13" customFormat="1" ht="11" outlineLevel="1" x14ac:dyDescent="0.15">
      <c r="A29" s="3" t="s">
        <v>17</v>
      </c>
      <c r="B29" s="3"/>
      <c r="C29" s="12">
        <f t="shared" ref="C29:Y29" si="76">+C28*0.12</f>
        <v>43341.804466439993</v>
      </c>
      <c r="D29" s="30">
        <f>C29/$C$19</f>
        <v>5.1599999999999993E-2</v>
      </c>
      <c r="E29" s="12">
        <f>+E28*0.12</f>
        <v>45618.33878795999</v>
      </c>
      <c r="F29" s="30">
        <f>E29/$E$19</f>
        <v>5.1599999999999993E-2</v>
      </c>
      <c r="G29" s="12">
        <f t="shared" si="76"/>
        <v>46908.33878795999</v>
      </c>
      <c r="H29" s="30">
        <f>G29/$G$19</f>
        <v>5.1599999999999993E-2</v>
      </c>
      <c r="I29" s="12">
        <f t="shared" si="76"/>
        <v>36175.201004519993</v>
      </c>
      <c r="J29" s="30">
        <f>I29/$I$19</f>
        <v>4.9199999999999994E-2</v>
      </c>
      <c r="K29" s="12">
        <f t="shared" si="76"/>
        <v>38313.039650520004</v>
      </c>
      <c r="L29" s="30">
        <f>K29/$K$19</f>
        <v>4.9200000000000001E-2</v>
      </c>
      <c r="M29" s="12">
        <f t="shared" si="76"/>
        <v>38313.039650520004</v>
      </c>
      <c r="N29" s="30">
        <f>M29/$M$19</f>
        <v>4.9200000000000001E-2</v>
      </c>
      <c r="O29" s="12">
        <f t="shared" si="76"/>
        <v>38313.039650520004</v>
      </c>
      <c r="P29" s="30">
        <f>O29/$O$19</f>
        <v>4.9200000000000001E-2</v>
      </c>
      <c r="Q29" s="12">
        <f t="shared" si="76"/>
        <v>37378.575268799999</v>
      </c>
      <c r="R29" s="30">
        <f>Q29/$Q$19</f>
        <v>4.7999999999999994E-2</v>
      </c>
      <c r="S29" s="12">
        <f t="shared" si="76"/>
        <v>39464.271508799997</v>
      </c>
      <c r="T29" s="30">
        <f>S29/$S$19</f>
        <v>4.8000000000000001E-2</v>
      </c>
      <c r="U29" s="12">
        <f t="shared" si="76"/>
        <v>39464.271508799997</v>
      </c>
      <c r="V29" s="30">
        <f>U29/$U$19</f>
        <v>4.8000000000000001E-2</v>
      </c>
      <c r="W29" s="12">
        <f t="shared" si="76"/>
        <v>38481.76364736</v>
      </c>
      <c r="X29" s="30">
        <f>W29/$W$19</f>
        <v>4.5600000000000002E-2</v>
      </c>
      <c r="Y29" s="12">
        <f t="shared" si="76"/>
        <v>38493.76364736</v>
      </c>
      <c r="Z29" s="30">
        <f>Y29/$Y$19</f>
        <v>4.5614219722490232E-2</v>
      </c>
      <c r="AA29" s="29">
        <f>SUM(C29:Y29)</f>
        <v>480265.98877956008</v>
      </c>
      <c r="AB29" s="30">
        <f>AA29/$AA$19</f>
        <v>4.8929832132708115E-2</v>
      </c>
      <c r="AC29" s="12">
        <f t="shared" ref="AC29:AI29" si="77">+AC28*0.12</f>
        <v>48741.309708959991</v>
      </c>
      <c r="AD29" s="30">
        <f>AC29/$AC$19</f>
        <v>5.3653209298548332E-2</v>
      </c>
      <c r="AE29" s="12">
        <f t="shared" si="77"/>
        <v>49920.676940639998</v>
      </c>
      <c r="AF29" s="30">
        <f>AE29/$AE$19</f>
        <v>5.3652897156155142E-2</v>
      </c>
      <c r="AG29" s="12">
        <f t="shared" si="77"/>
        <v>49908.676940639998</v>
      </c>
      <c r="AH29" s="30">
        <f>AG29/$AG$19</f>
        <v>5.364E-2</v>
      </c>
      <c r="AI29" s="12">
        <f t="shared" si="77"/>
        <v>39187.156652639998</v>
      </c>
      <c r="AJ29" s="30">
        <f>AI29/$AI$19</f>
        <v>5.3640000000000007E-2</v>
      </c>
      <c r="AK29" s="12">
        <f t="shared" ref="AK29" si="78">+AK28*0.12</f>
        <v>41867.536724639998</v>
      </c>
      <c r="AL29" s="30">
        <f>AK29/$AK$19</f>
        <v>5.364E-2</v>
      </c>
      <c r="AM29" s="31">
        <v>1.7683657319390353E-2</v>
      </c>
      <c r="AN29" s="12">
        <f t="shared" ref="AN29" si="79">+AN28*0.12</f>
        <v>41867.536724639998</v>
      </c>
      <c r="AO29" s="30">
        <f>AN29/$AN$19</f>
        <v>5.364E-2</v>
      </c>
      <c r="AP29" s="12">
        <f t="shared" ref="AP29" si="80">+AP28*0.12</f>
        <v>41867.536724639998</v>
      </c>
      <c r="AQ29" s="30">
        <f>AP29/$AP$19</f>
        <v>5.364E-2</v>
      </c>
      <c r="AR29" s="12">
        <f t="shared" ref="AR29" si="81">+AR28*0.12</f>
        <v>41867.536724639998</v>
      </c>
      <c r="AS29" s="30">
        <f>AR29/$AR$19</f>
        <v>5.364E-2</v>
      </c>
      <c r="AT29" s="12">
        <f t="shared" ref="AT29" si="82">+AT28*0.12</f>
        <v>44547.916796639998</v>
      </c>
      <c r="AU29" s="30">
        <f>AT29/$AT$19</f>
        <v>5.3640000000000007E-2</v>
      </c>
      <c r="AV29" s="12">
        <f t="shared" ref="AV29" si="83">+AV28*0.12</f>
        <v>44547.916796639998</v>
      </c>
      <c r="AW29" s="30">
        <f>AV29/$AV$19</f>
        <v>5.3640000000000007E-2</v>
      </c>
      <c r="AX29" s="12">
        <f t="shared" ref="AX29" si="84">+AX28*0.12</f>
        <v>45888.106832639998</v>
      </c>
      <c r="AY29" s="30">
        <f>AX29/$AX$19</f>
        <v>5.3639999999999993E-2</v>
      </c>
      <c r="AZ29" s="12">
        <f t="shared" ref="AZ29" si="85">+AZ28*0.12</f>
        <v>45888.106832639998</v>
      </c>
      <c r="BA29" s="30">
        <f>AZ29/$AZ$19</f>
        <v>5.3639999999999993E-2</v>
      </c>
      <c r="BB29" s="84">
        <f t="shared" si="2"/>
        <v>536100.6757897638</v>
      </c>
      <c r="BC29" s="30">
        <f>BB29/$BB$19</f>
        <v>5.3642397852161898E-2</v>
      </c>
    </row>
    <row r="30" spans="1:55" s="13" customFormat="1" ht="23" customHeight="1" outlineLevel="1" x14ac:dyDescent="0.15">
      <c r="A30" s="3" t="s">
        <v>14</v>
      </c>
      <c r="B30" s="3"/>
      <c r="C30" s="12">
        <v>4000</v>
      </c>
      <c r="D30" s="30">
        <f>C30/$C$19</f>
        <v>4.7621459821733459E-3</v>
      </c>
      <c r="E30" s="12">
        <v>4000</v>
      </c>
      <c r="F30" s="30">
        <f>E30/$E$19</f>
        <v>4.5244961891175873E-3</v>
      </c>
      <c r="G30" s="12">
        <v>4000</v>
      </c>
      <c r="H30" s="30">
        <f>G30/$G$19</f>
        <v>4.4000705489271527E-3</v>
      </c>
      <c r="I30" s="12">
        <v>4000</v>
      </c>
      <c r="J30" s="30">
        <f>I30/$I$19</f>
        <v>5.4401909190611095E-3</v>
      </c>
      <c r="K30" s="12">
        <v>4000</v>
      </c>
      <c r="L30" s="30">
        <f>K30/$K$19</f>
        <v>5.1366323788232483E-3</v>
      </c>
      <c r="M30" s="12">
        <v>4000</v>
      </c>
      <c r="N30" s="30">
        <f>M30/$M$19</f>
        <v>5.1366323788232483E-3</v>
      </c>
      <c r="O30" s="12">
        <v>4000</v>
      </c>
      <c r="P30" s="30">
        <f>O30/$O$19</f>
        <v>5.1366323788232483E-3</v>
      </c>
      <c r="Q30" s="12">
        <v>4000</v>
      </c>
      <c r="R30" s="30">
        <f>Q30/$Q$19</f>
        <v>5.1366323788232483E-3</v>
      </c>
      <c r="S30" s="12">
        <v>4000</v>
      </c>
      <c r="T30" s="30">
        <f>S30/$S$19</f>
        <v>4.8651601222940754E-3</v>
      </c>
      <c r="U30" s="12">
        <v>4000</v>
      </c>
      <c r="V30" s="30">
        <f>U30/$U$19</f>
        <v>4.8651601222940754E-3</v>
      </c>
      <c r="W30" s="12">
        <v>4000</v>
      </c>
      <c r="X30" s="30">
        <f>W30/$W$19</f>
        <v>4.7399074967426381E-3</v>
      </c>
      <c r="Y30" s="12">
        <v>4000</v>
      </c>
      <c r="Z30" s="30">
        <f>Y30/$Y$19</f>
        <v>4.7399074967426381E-3</v>
      </c>
      <c r="AA30" s="29">
        <f>SUM(C30:Y30)</f>
        <v>48000.054143660898</v>
      </c>
      <c r="AB30" s="30">
        <f>AA30/$AA$19</f>
        <v>4.8902788173247908E-3</v>
      </c>
      <c r="AC30" s="12">
        <v>1950</v>
      </c>
      <c r="AD30" s="30">
        <f>AC30/$AC$19</f>
        <v>2.1465110141046647E-3</v>
      </c>
      <c r="AE30" s="12">
        <v>1950</v>
      </c>
      <c r="AF30" s="30">
        <f>AE30/$AE$19</f>
        <v>2.0957878752106765E-3</v>
      </c>
      <c r="AG30" s="12">
        <v>1950</v>
      </c>
      <c r="AH30" s="30">
        <f>AG30/$AG$19</f>
        <v>2.0957878752106765E-3</v>
      </c>
      <c r="AI30" s="12">
        <v>1950</v>
      </c>
      <c r="AJ30" s="30">
        <f>AI30/$AI$19</f>
        <v>2.6691908506445146E-3</v>
      </c>
      <c r="AK30" s="12">
        <v>1950</v>
      </c>
      <c r="AL30" s="30">
        <f>AK30/$AK$19</f>
        <v>2.4983079536762356E-3</v>
      </c>
      <c r="AM30" s="31">
        <v>4.5445791513417464E-3</v>
      </c>
      <c r="AN30" s="12">
        <v>1950</v>
      </c>
      <c r="AO30" s="30">
        <f>AN30/$AN$19</f>
        <v>2.4983079536762356E-3</v>
      </c>
      <c r="AP30" s="12">
        <v>1950</v>
      </c>
      <c r="AQ30" s="30">
        <f>AP30/$AP$19</f>
        <v>2.4983079536762356E-3</v>
      </c>
      <c r="AR30" s="12">
        <v>1950</v>
      </c>
      <c r="AS30" s="30">
        <f>AR30/$AR$19</f>
        <v>2.4983079536762356E-3</v>
      </c>
      <c r="AT30" s="12">
        <v>1950</v>
      </c>
      <c r="AU30" s="30">
        <f>AT30/$AT$19</f>
        <v>2.3479885822155718E-3</v>
      </c>
      <c r="AV30" s="12">
        <v>1950</v>
      </c>
      <c r="AW30" s="30">
        <f>AV30/$AV$19</f>
        <v>2.3479885822155718E-3</v>
      </c>
      <c r="AX30" s="12">
        <v>1950</v>
      </c>
      <c r="AY30" s="30">
        <f>AX30/$AX$19</f>
        <v>2.2794141493237617E-3</v>
      </c>
      <c r="AZ30" s="12">
        <v>1950</v>
      </c>
      <c r="BA30" s="30">
        <f>AZ30/$AZ$19</f>
        <v>2.2794141493237617E-3</v>
      </c>
      <c r="BB30" s="84">
        <f t="shared" si="2"/>
        <v>23400.032799894037</v>
      </c>
      <c r="BC30" s="30">
        <f>BB30/$BB$19</f>
        <v>2.3414144504787082E-3</v>
      </c>
    </row>
    <row r="31" spans="1:55" s="13" customFormat="1" ht="11" x14ac:dyDescent="0.15">
      <c r="A31" s="3" t="s">
        <v>154</v>
      </c>
      <c r="B31" s="3"/>
      <c r="C31" s="12">
        <f>SUM(C28:C30)</f>
        <v>408523.50835343997</v>
      </c>
      <c r="D31" s="30">
        <f>C31/C$19</f>
        <v>0.48636214598217337</v>
      </c>
      <c r="E31" s="12">
        <f>SUM(E28:E30)</f>
        <v>429771.16202095995</v>
      </c>
      <c r="F31" s="30">
        <f>E31/E$19</f>
        <v>0.48612449618911757</v>
      </c>
      <c r="G31" s="12">
        <f>SUM(G28:G30)</f>
        <v>441811.16202095995</v>
      </c>
      <c r="H31" s="30">
        <f>G31/G$19</f>
        <v>0.48600007054892713</v>
      </c>
      <c r="I31" s="12">
        <f>SUM(I28:I30)</f>
        <v>341635.20937551995</v>
      </c>
      <c r="J31" s="30">
        <f>I31/I$19</f>
        <v>0.46464019091906111</v>
      </c>
      <c r="K31" s="12">
        <f>SUM(K28:K30)</f>
        <v>361588.37007152004</v>
      </c>
      <c r="L31" s="30">
        <f>K31/K$19</f>
        <v>0.46433663237882328</v>
      </c>
      <c r="M31" s="12">
        <f>SUM(M28:M30)</f>
        <v>361588.37007152004</v>
      </c>
      <c r="N31" s="30">
        <f>M31/M$19</f>
        <v>0.46433663237882328</v>
      </c>
      <c r="O31" s="12">
        <f>SUM(O28:O30)</f>
        <v>361588.37007152004</v>
      </c>
      <c r="P31" s="30">
        <f>O31/O$19</f>
        <v>0.46433663237882328</v>
      </c>
      <c r="Q31" s="12">
        <f>SUM(Q28:Q30)</f>
        <v>352866.70250880002</v>
      </c>
      <c r="R31" s="30">
        <f>Q31/Q$19</f>
        <v>0.45313663237882323</v>
      </c>
      <c r="S31" s="12">
        <f>SUM(S28:S30)</f>
        <v>372333.20074879995</v>
      </c>
      <c r="T31" s="30">
        <f>S31/S$19</f>
        <v>0.45286516012229405</v>
      </c>
      <c r="U31" s="12">
        <f>SUM(U28:U30)</f>
        <v>372333.20074879995</v>
      </c>
      <c r="V31" s="30">
        <f>U31/U$19</f>
        <v>0.45286516012229405</v>
      </c>
      <c r="W31" s="12">
        <f>SUM(W28:W30)</f>
        <v>363163.12737536</v>
      </c>
      <c r="X31" s="30">
        <f>W31/W$19</f>
        <v>0.43033990749674267</v>
      </c>
      <c r="Y31" s="12">
        <f>SUM(Y28:Y30)</f>
        <v>363275.12737536</v>
      </c>
      <c r="Z31" s="30">
        <f>Y31/Y$19</f>
        <v>0.43047262490665145</v>
      </c>
      <c r="AA31" s="12">
        <f>SUM(AA28:AA30)</f>
        <v>4530482.6160862194</v>
      </c>
      <c r="AB31" s="30">
        <f>AA31/AA$19</f>
        <v>0.46156871205593364</v>
      </c>
      <c r="AC31" s="12">
        <f>SUM(AC28:AC30)</f>
        <v>456868.89061695995</v>
      </c>
      <c r="AD31" s="30">
        <f>AC31/AC$19</f>
        <v>0.50290979780055578</v>
      </c>
      <c r="AE31" s="12">
        <f>SUM(AE28:AE30)</f>
        <v>467876.31811263994</v>
      </c>
      <c r="AF31" s="30">
        <f>AE31/AE$19</f>
        <v>0.50285616133265865</v>
      </c>
      <c r="AG31" s="12">
        <f>SUM(AG28:AG30)</f>
        <v>467764.31811263994</v>
      </c>
      <c r="AH31" s="30">
        <f>AG31/AG$19</f>
        <v>0.50273578787521067</v>
      </c>
      <c r="AI31" s="12">
        <f>SUM(AI28:AI30)</f>
        <v>367696.79542463995</v>
      </c>
      <c r="AJ31" s="30">
        <f>AI31/AI$19</f>
        <v>0.50330919085064452</v>
      </c>
      <c r="AK31" s="12">
        <f>SUM(AK28:AK30)</f>
        <v>392713.67609664</v>
      </c>
      <c r="AL31" s="30">
        <f>AK31/AK$19</f>
        <v>0.50313830795367631</v>
      </c>
      <c r="AM31" s="31"/>
      <c r="AN31" s="12">
        <f>SUM(AN28:AN30)</f>
        <v>392713.67609664</v>
      </c>
      <c r="AO31" s="30">
        <f>AN31/AN$19</f>
        <v>0.50313830795367631</v>
      </c>
      <c r="AP31" s="12">
        <f>SUM(AP28:AP30)</f>
        <v>392713.67609664</v>
      </c>
      <c r="AQ31" s="30">
        <f>AP31/AP$19</f>
        <v>0.50313830795367631</v>
      </c>
      <c r="AR31" s="12">
        <f>SUM(AR28:AR30)</f>
        <v>392713.67609664</v>
      </c>
      <c r="AS31" s="30">
        <f>AR31/AR$19</f>
        <v>0.50313830795367631</v>
      </c>
      <c r="AT31" s="12">
        <f>SUM(AT28:AT30)</f>
        <v>417730.55676863994</v>
      </c>
      <c r="AU31" s="30">
        <f>AT31/AT$19</f>
        <v>0.50298798858221561</v>
      </c>
      <c r="AV31" s="12">
        <f>SUM(AV28:AV30)</f>
        <v>417730.55676863994</v>
      </c>
      <c r="AW31" s="30">
        <f>AV31/AV$19</f>
        <v>0.50298798858221561</v>
      </c>
      <c r="AX31" s="12">
        <f>SUM(AX28:AX30)</f>
        <v>430238.99710464</v>
      </c>
      <c r="AY31" s="30">
        <f>AX31/AX$19</f>
        <v>0.50291941414932373</v>
      </c>
      <c r="AZ31" s="12">
        <f>SUM(AZ28:AZ30)</f>
        <v>430238.99710464</v>
      </c>
      <c r="BA31" s="30">
        <f>AZ31/AZ$19</f>
        <v>0.50291941414932373</v>
      </c>
      <c r="BB31" s="84">
        <f t="shared" si="2"/>
        <v>5027006.1705789752</v>
      </c>
      <c r="BC31" s="30">
        <f>BB31/BB$19</f>
        <v>0.50300377743455749</v>
      </c>
    </row>
    <row r="32" spans="1:55" s="13" customFormat="1" ht="11" outlineLevel="1" x14ac:dyDescent="0.15">
      <c r="A32" s="73" t="s">
        <v>84</v>
      </c>
      <c r="B32" s="3"/>
      <c r="C32" s="12"/>
      <c r="D32" s="30"/>
      <c r="E32" s="12"/>
      <c r="F32" s="30"/>
      <c r="G32" s="12"/>
      <c r="H32" s="30"/>
      <c r="I32" s="12"/>
      <c r="J32" s="30"/>
      <c r="K32" s="12"/>
      <c r="L32" s="30"/>
      <c r="M32" s="12"/>
      <c r="N32" s="30"/>
      <c r="O32" s="12"/>
      <c r="P32" s="30"/>
      <c r="Q32" s="12"/>
      <c r="R32" s="30"/>
      <c r="S32" s="12"/>
      <c r="T32" s="30"/>
      <c r="U32" s="12"/>
      <c r="V32" s="30"/>
      <c r="W32" s="12"/>
      <c r="X32" s="30"/>
      <c r="Y32" s="12"/>
      <c r="Z32" s="30"/>
      <c r="AA32" s="29"/>
      <c r="AB32" s="30"/>
      <c r="AC32" s="12"/>
      <c r="AD32" s="30"/>
      <c r="AE32" s="12"/>
      <c r="AF32" s="30"/>
      <c r="AH32" s="30"/>
      <c r="AJ32" s="30"/>
      <c r="AL32" s="30"/>
      <c r="AM32" s="31"/>
      <c r="AO32" s="30"/>
      <c r="AQ32" s="30"/>
      <c r="AS32" s="30"/>
      <c r="AU32" s="30"/>
      <c r="AW32" s="30"/>
      <c r="AY32" s="30"/>
      <c r="BA32" s="30"/>
      <c r="BB32" s="84"/>
      <c r="BC32" s="30"/>
    </row>
    <row r="33" spans="1:55" s="13" customFormat="1" ht="13" customHeight="1" outlineLevel="1" x14ac:dyDescent="0.15">
      <c r="A33" s="3" t="s">
        <v>8</v>
      </c>
      <c r="B33" s="3"/>
      <c r="C33" s="12">
        <v>5000</v>
      </c>
      <c r="D33" s="30">
        <f t="shared" ref="D33:D68" si="86">C33/$C$19</f>
        <v>5.9526824777166821E-3</v>
      </c>
      <c r="E33" s="12">
        <v>5000</v>
      </c>
      <c r="F33" s="30">
        <f t="shared" ref="F33:F68" si="87">E33/$E$19</f>
        <v>5.6556202363969837E-3</v>
      </c>
      <c r="G33" s="12">
        <v>5000</v>
      </c>
      <c r="H33" s="30">
        <f t="shared" ref="H33:H68" si="88">G33/$G$19</f>
        <v>5.5000881861589409E-3</v>
      </c>
      <c r="I33" s="12">
        <v>5000</v>
      </c>
      <c r="J33" s="30">
        <f t="shared" ref="J33:J68" si="89">I33/$I$19</f>
        <v>6.8002386488263868E-3</v>
      </c>
      <c r="K33" s="12">
        <v>5000</v>
      </c>
      <c r="L33" s="30">
        <f t="shared" ref="L33:L68" si="90">K33/$K$19</f>
        <v>6.4207904735290606E-3</v>
      </c>
      <c r="M33" s="12">
        <v>5000</v>
      </c>
      <c r="N33" s="30">
        <f t="shared" ref="N33:N68" si="91">M33/$M$19</f>
        <v>6.4207904735290606E-3</v>
      </c>
      <c r="O33" s="12">
        <v>5000</v>
      </c>
      <c r="P33" s="30">
        <f t="shared" ref="P33:P68" si="92">O33/$O$19</f>
        <v>6.4207904735290606E-3</v>
      </c>
      <c r="Q33" s="12">
        <v>5000</v>
      </c>
      <c r="R33" s="30">
        <f t="shared" ref="R33:R68" si="93">Q33/$Q$19</f>
        <v>6.4207904735290606E-3</v>
      </c>
      <c r="S33" s="12">
        <v>5000</v>
      </c>
      <c r="T33" s="30">
        <f t="shared" ref="T33:T68" si="94">S33/$S$19</f>
        <v>6.0814501528675948E-3</v>
      </c>
      <c r="U33" s="12">
        <v>5000</v>
      </c>
      <c r="V33" s="30">
        <f t="shared" ref="V33:V68" si="95">U33/$U$19</f>
        <v>6.0814501528675948E-3</v>
      </c>
      <c r="W33" s="12">
        <v>5000</v>
      </c>
      <c r="X33" s="30">
        <f t="shared" ref="X33:X68" si="96">W33/$W$19</f>
        <v>5.9248843709282985E-3</v>
      </c>
      <c r="Y33" s="12">
        <v>5000</v>
      </c>
      <c r="Z33" s="30">
        <f t="shared" ref="Z33:Z68" si="97">Y33/$Y$19</f>
        <v>5.9248843709282985E-3</v>
      </c>
      <c r="AA33" s="29">
        <f t="shared" ref="AA33:AA41" si="98">SUM(C33:Y33)</f>
        <v>60000.067679576117</v>
      </c>
      <c r="AB33" s="30">
        <f t="shared" ref="AB33:AB41" si="99">AA33/$AA$19</f>
        <v>6.1128485216559872E-3</v>
      </c>
      <c r="AC33" s="12">
        <v>500</v>
      </c>
      <c r="AD33" s="30">
        <f t="shared" ref="AD33:AD68" si="100">AC33/$AC$19</f>
        <v>5.503874395140166E-4</v>
      </c>
      <c r="AE33" s="12">
        <v>500</v>
      </c>
      <c r="AF33" s="30">
        <f t="shared" ref="AF33:AF68" si="101">AE33/$AE$19</f>
        <v>5.3738150646427609E-4</v>
      </c>
      <c r="AG33" s="12">
        <v>500</v>
      </c>
      <c r="AH33" s="30">
        <f t="shared" ref="AH33:AH68" si="102">AG33/$AG$19</f>
        <v>5.3738150646427609E-4</v>
      </c>
      <c r="AI33" s="12">
        <v>500</v>
      </c>
      <c r="AJ33" s="30">
        <f t="shared" ref="AJ33:AJ68" si="103">AI33/$AI$19</f>
        <v>6.8440791042167039E-4</v>
      </c>
      <c r="AK33" s="12">
        <v>500</v>
      </c>
      <c r="AL33" s="30">
        <f>AK33/$AK$19</f>
        <v>6.4059178299390662E-4</v>
      </c>
      <c r="AM33" s="31">
        <v>5.6807239391771826E-3</v>
      </c>
      <c r="AN33" s="12">
        <v>500</v>
      </c>
      <c r="AO33" s="30">
        <f>AN33/$AN$19</f>
        <v>6.4059178299390662E-4</v>
      </c>
      <c r="AP33" s="12">
        <v>500</v>
      </c>
      <c r="AQ33" s="30">
        <f>AP33/$AP$19</f>
        <v>6.4059178299390662E-4</v>
      </c>
      <c r="AR33" s="12">
        <v>500</v>
      </c>
      <c r="AS33" s="30">
        <f>AR33/$AR$19</f>
        <v>6.4059178299390662E-4</v>
      </c>
      <c r="AT33" s="12">
        <v>500</v>
      </c>
      <c r="AU33" s="30">
        <f>AT33/$AT$19</f>
        <v>6.0204835441424924E-4</v>
      </c>
      <c r="AV33" s="12">
        <v>500</v>
      </c>
      <c r="AW33" s="30">
        <f>AV33/$AV$19</f>
        <v>6.0204835441424924E-4</v>
      </c>
      <c r="AX33" s="12">
        <v>500</v>
      </c>
      <c r="AY33" s="30">
        <f>AX33/$AX$19</f>
        <v>5.8446516649327224E-4</v>
      </c>
      <c r="AZ33" s="12">
        <v>500</v>
      </c>
      <c r="BA33" s="30">
        <f>AZ33/$AZ$19</f>
        <v>5.8446516649327224E-4</v>
      </c>
      <c r="BB33" s="84">
        <f t="shared" si="2"/>
        <v>6000.0129256764758</v>
      </c>
      <c r="BC33" s="30">
        <f>BB33/$BB$19</f>
        <v>6.0036313142695886E-4</v>
      </c>
    </row>
    <row r="34" spans="1:55" s="13" customFormat="1" ht="11" outlineLevel="1" x14ac:dyDescent="0.15">
      <c r="A34" s="3" t="s">
        <v>11</v>
      </c>
      <c r="B34" s="3"/>
      <c r="C34" s="12">
        <v>100</v>
      </c>
      <c r="D34" s="30">
        <f>C34/$C$19</f>
        <v>1.1905364955433365E-4</v>
      </c>
      <c r="E34" s="12">
        <v>100</v>
      </c>
      <c r="F34" s="30">
        <f>E34/$E$19</f>
        <v>1.1311240472793968E-4</v>
      </c>
      <c r="G34" s="12">
        <v>100</v>
      </c>
      <c r="H34" s="30">
        <f>G34/$G$19</f>
        <v>1.1000176372317882E-4</v>
      </c>
      <c r="I34" s="12">
        <v>100</v>
      </c>
      <c r="J34" s="30">
        <f>I34/$I$19</f>
        <v>1.3600477297652774E-4</v>
      </c>
      <c r="K34" s="12">
        <v>100</v>
      </c>
      <c r="L34" s="30">
        <f>K34/$K$19</f>
        <v>1.2841580947058122E-4</v>
      </c>
      <c r="M34" s="12">
        <v>100</v>
      </c>
      <c r="N34" s="30">
        <f>M34/$M$19</f>
        <v>1.2841580947058122E-4</v>
      </c>
      <c r="O34" s="12">
        <v>100</v>
      </c>
      <c r="P34" s="30">
        <f>O34/$O$19</f>
        <v>1.2841580947058122E-4</v>
      </c>
      <c r="Q34" s="12">
        <v>100</v>
      </c>
      <c r="R34" s="30">
        <f>Q34/$Q$19</f>
        <v>1.2841580947058122E-4</v>
      </c>
      <c r="S34" s="12">
        <v>100</v>
      </c>
      <c r="T34" s="30">
        <f>S34/$S$19</f>
        <v>1.2162900305735189E-4</v>
      </c>
      <c r="U34" s="12">
        <v>100</v>
      </c>
      <c r="V34" s="30">
        <f>U34/$U$19</f>
        <v>1.2162900305735189E-4</v>
      </c>
      <c r="W34" s="12">
        <v>100</v>
      </c>
      <c r="X34" s="30">
        <f>W34/$W$19</f>
        <v>1.1849768741856596E-4</v>
      </c>
      <c r="Y34" s="12">
        <v>100</v>
      </c>
      <c r="Z34" s="30">
        <f>Y34/$Y$19</f>
        <v>1.1849768741856596E-4</v>
      </c>
      <c r="AA34" s="29">
        <f t="shared" si="98"/>
        <v>1200.0013535915225</v>
      </c>
      <c r="AB34" s="30">
        <f t="shared" si="99"/>
        <v>1.2225697043311977E-4</v>
      </c>
      <c r="AC34" s="12">
        <v>50</v>
      </c>
      <c r="AD34" s="30">
        <f>AC34/$AC$19</f>
        <v>5.503874395140166E-5</v>
      </c>
      <c r="AE34" s="12">
        <v>50</v>
      </c>
      <c r="AF34" s="30">
        <f>AE34/$AE$19</f>
        <v>5.373815064642761E-5</v>
      </c>
      <c r="AG34" s="12">
        <v>50</v>
      </c>
      <c r="AH34" s="30">
        <f>AG34/$AG$19</f>
        <v>5.373815064642761E-5</v>
      </c>
      <c r="AI34" s="12">
        <v>50</v>
      </c>
      <c r="AJ34" s="30">
        <f>AI34/$AI$19</f>
        <v>6.8440791042167047E-5</v>
      </c>
      <c r="AK34" s="12">
        <v>50</v>
      </c>
      <c r="AL34" s="30">
        <f>AK34/$AK$19</f>
        <v>6.4059178299390664E-5</v>
      </c>
      <c r="AM34" s="31">
        <v>1.00113614478784</v>
      </c>
      <c r="AN34" s="12">
        <v>50</v>
      </c>
      <c r="AO34" s="30">
        <f>AN34/$AN$19</f>
        <v>6.4059178299390664E-5</v>
      </c>
      <c r="AP34" s="12">
        <v>50</v>
      </c>
      <c r="AQ34" s="30">
        <f>AP34/$AP$19</f>
        <v>6.4059178299390664E-5</v>
      </c>
      <c r="AR34" s="12">
        <v>50</v>
      </c>
      <c r="AS34" s="30">
        <f>AR34/$AR$19</f>
        <v>6.4059178299390664E-5</v>
      </c>
      <c r="AT34" s="12">
        <v>50</v>
      </c>
      <c r="AU34" s="30">
        <f>AT34/$AT$19</f>
        <v>6.0204835441424918E-5</v>
      </c>
      <c r="AV34" s="12">
        <v>50</v>
      </c>
      <c r="AW34" s="30">
        <f>AV34/$AV$19</f>
        <v>6.0204835441424918E-5</v>
      </c>
      <c r="AX34" s="12">
        <v>50</v>
      </c>
      <c r="AY34" s="30">
        <f>AX34/$AX$19</f>
        <v>5.8446516649327218E-5</v>
      </c>
      <c r="AZ34" s="12">
        <v>50</v>
      </c>
      <c r="BA34" s="30">
        <f>AZ34/$AZ$19</f>
        <v>5.8446516649327218E-5</v>
      </c>
      <c r="BB34" s="84">
        <f t="shared" si="2"/>
        <v>601.0018606400414</v>
      </c>
      <c r="BC34" s="30">
        <f>BB34/$BB$19</f>
        <v>6.0136430290540274E-5</v>
      </c>
    </row>
    <row r="35" spans="1:55" s="13" customFormat="1" ht="11" outlineLevel="1" x14ac:dyDescent="0.15">
      <c r="A35" s="3" t="s">
        <v>16</v>
      </c>
      <c r="B35" s="3"/>
      <c r="C35" s="12">
        <f>C19*3%</f>
        <v>25198.723526999998</v>
      </c>
      <c r="D35" s="30">
        <f>C35/$C$19</f>
        <v>0.03</v>
      </c>
      <c r="E35" s="12">
        <f>E19*3%</f>
        <v>26522.289992999999</v>
      </c>
      <c r="F35" s="30">
        <f>E35/$E$19</f>
        <v>3.0000000000000002E-2</v>
      </c>
      <c r="G35" s="12">
        <f>G19*3%</f>
        <v>27272.289992999999</v>
      </c>
      <c r="H35" s="30">
        <f>G35/$G$19</f>
        <v>3.0000000000000002E-2</v>
      </c>
      <c r="I35" s="12">
        <f>I19*3%</f>
        <v>22058.049392999998</v>
      </c>
      <c r="J35" s="30">
        <f>I35/$I$19</f>
        <v>0.03</v>
      </c>
      <c r="K35" s="12">
        <f>K19*3%</f>
        <v>23361.609542999999</v>
      </c>
      <c r="L35" s="30">
        <f>K35/$K$19</f>
        <v>2.9999999999999995E-2</v>
      </c>
      <c r="M35" s="12">
        <f>M19*3%</f>
        <v>23361.609542999999</v>
      </c>
      <c r="N35" s="30">
        <f>M35/$M$19</f>
        <v>2.9999999999999995E-2</v>
      </c>
      <c r="O35" s="12">
        <f>O19*3%</f>
        <v>23361.609542999999</v>
      </c>
      <c r="P35" s="30">
        <f>O35/$O$19</f>
        <v>2.9999999999999995E-2</v>
      </c>
      <c r="Q35" s="12">
        <f>Q19*3%</f>
        <v>23361.609542999999</v>
      </c>
      <c r="R35" s="30">
        <f>Q35/$Q$19</f>
        <v>2.9999999999999995E-2</v>
      </c>
      <c r="S35" s="12">
        <f>S19*3%</f>
        <v>24665.169692999996</v>
      </c>
      <c r="T35" s="30">
        <f>S35/$S$19</f>
        <v>0.03</v>
      </c>
      <c r="U35" s="12">
        <f>U19*3%</f>
        <v>24665.169692999996</v>
      </c>
      <c r="V35" s="30">
        <f>U35/$U$19</f>
        <v>0.03</v>
      </c>
      <c r="W35" s="12">
        <f>W19*3%</f>
        <v>25316.949767999999</v>
      </c>
      <c r="X35" s="30">
        <f>W35/$W$19</f>
        <v>0.03</v>
      </c>
      <c r="Y35" s="12">
        <f>Y19*3%</f>
        <v>25316.949767999999</v>
      </c>
      <c r="Z35" s="30">
        <f>Y35/$Y$19</f>
        <v>0.03</v>
      </c>
      <c r="AA35" s="29">
        <f t="shared" si="98"/>
        <v>294462.36</v>
      </c>
      <c r="AB35" s="30">
        <f t="shared" si="99"/>
        <v>3.0000029527000854E-2</v>
      </c>
      <c r="AC35" s="12">
        <f>AC19*1.25%</f>
        <v>11355.637049999999</v>
      </c>
      <c r="AD35" s="30">
        <f>AC35/$AC$19</f>
        <v>1.2500000000000001E-2</v>
      </c>
      <c r="AE35" s="12">
        <f>AE19*1.25%</f>
        <v>11630.470950000001</v>
      </c>
      <c r="AF35" s="30">
        <f>AE35/$AE$19</f>
        <v>1.2500000000000001E-2</v>
      </c>
      <c r="AG35" s="12">
        <f>AG19*1.25%</f>
        <v>11630.470950000001</v>
      </c>
      <c r="AH35" s="30">
        <f>AG35/$AG$19</f>
        <v>1.2500000000000001E-2</v>
      </c>
      <c r="AI35" s="12">
        <f>AI19*1.25%</f>
        <v>9131.9809499999992</v>
      </c>
      <c r="AJ35" s="30">
        <f>AI35/$AI$19</f>
        <v>1.2500000000000001E-2</v>
      </c>
      <c r="AK35" s="12">
        <f>AK19*1.25%</f>
        <v>9756.6034500000005</v>
      </c>
      <c r="AL35" s="30">
        <f>AK35/$AK$19</f>
        <v>1.2500000000000001E-2</v>
      </c>
      <c r="AM35" s="31">
        <v>1.685476605386188E-2</v>
      </c>
      <c r="AN35" s="12">
        <f>AN19*1.25%</f>
        <v>9756.6034500000005</v>
      </c>
      <c r="AO35" s="30">
        <f>AN35/$AN$19</f>
        <v>1.2500000000000001E-2</v>
      </c>
      <c r="AP35" s="12">
        <f>AP19*1.25%</f>
        <v>9756.6034500000005</v>
      </c>
      <c r="AQ35" s="30">
        <f>AP35/$AP$19</f>
        <v>1.2500000000000001E-2</v>
      </c>
      <c r="AR35" s="12">
        <f>AR19*1.25%</f>
        <v>9756.6034500000005</v>
      </c>
      <c r="AS35" s="30">
        <f>AR35/$AR$19</f>
        <v>1.2500000000000001E-2</v>
      </c>
      <c r="AT35" s="12">
        <f>AT19*1.25%</f>
        <v>10381.22595</v>
      </c>
      <c r="AU35" s="30">
        <f>AT35/$AT$19</f>
        <v>1.2500000000000002E-2</v>
      </c>
      <c r="AV35" s="12">
        <f>AV19*1.25%</f>
        <v>10381.22595</v>
      </c>
      <c r="AW35" s="30">
        <f>AV35/$AV$19</f>
        <v>1.2500000000000002E-2</v>
      </c>
      <c r="AX35" s="12">
        <f>AX19*1.25%</f>
        <v>10693.537200000001</v>
      </c>
      <c r="AY35" s="30">
        <f>AX35/$AX$19</f>
        <v>1.2500000000000001E-2</v>
      </c>
      <c r="AZ35" s="12">
        <f>AZ19*1.25%</f>
        <v>10693.537200000001</v>
      </c>
      <c r="BA35" s="30">
        <f>AZ35/$AZ$19</f>
        <v>1.2500000000000001E-2</v>
      </c>
      <c r="BB35" s="84">
        <f t="shared" si="2"/>
        <v>124924.66685476604</v>
      </c>
      <c r="BC35" s="30">
        <f>BB35/$BB$19</f>
        <v>1.2500000435739228E-2</v>
      </c>
    </row>
    <row r="36" spans="1:55" s="13" customFormat="1" ht="11" outlineLevel="1" x14ac:dyDescent="0.15">
      <c r="A36" s="3" t="s">
        <v>76</v>
      </c>
      <c r="B36" s="3"/>
      <c r="C36" s="12">
        <f>7500/12</f>
        <v>625</v>
      </c>
      <c r="D36" s="30">
        <f>C36/C$19</f>
        <v>7.4408530971458527E-4</v>
      </c>
      <c r="E36" s="12">
        <f>7500/12</f>
        <v>625</v>
      </c>
      <c r="F36" s="30">
        <f>E36/E$19</f>
        <v>7.0695252954962296E-4</v>
      </c>
      <c r="G36" s="12">
        <f>7500/12</f>
        <v>625</v>
      </c>
      <c r="H36" s="30">
        <f>G36/G$19</f>
        <v>6.8751102326986761E-4</v>
      </c>
      <c r="I36" s="12">
        <f>7500/12</f>
        <v>625</v>
      </c>
      <c r="J36" s="30">
        <f>I36/I$19</f>
        <v>8.5002983110329835E-4</v>
      </c>
      <c r="K36" s="12">
        <f>7500/12</f>
        <v>625</v>
      </c>
      <c r="L36" s="30">
        <f>K36/K$19</f>
        <v>8.0259880919113257E-4</v>
      </c>
      <c r="M36" s="12">
        <f>7500/12</f>
        <v>625</v>
      </c>
      <c r="N36" s="30">
        <f>M36/M$19</f>
        <v>8.0259880919113257E-4</v>
      </c>
      <c r="O36" s="12">
        <f>7500/12</f>
        <v>625</v>
      </c>
      <c r="P36" s="30">
        <f>O36/O$19</f>
        <v>8.0259880919113257E-4</v>
      </c>
      <c r="Q36" s="12">
        <f>7500/12</f>
        <v>625</v>
      </c>
      <c r="R36" s="30">
        <f>Q36/Q$19</f>
        <v>8.0259880919113257E-4</v>
      </c>
      <c r="S36" s="12">
        <f>7500/12</f>
        <v>625</v>
      </c>
      <c r="T36" s="30">
        <f>S36/S$19</f>
        <v>7.6018126910844936E-4</v>
      </c>
      <c r="U36" s="12">
        <f>7500/12</f>
        <v>625</v>
      </c>
      <c r="V36" s="30">
        <f>U36/U$19</f>
        <v>7.6018126910844936E-4</v>
      </c>
      <c r="W36" s="12">
        <f>7500/12</f>
        <v>625</v>
      </c>
      <c r="X36" s="30">
        <f>W36/W$19</f>
        <v>7.4061054636603732E-4</v>
      </c>
      <c r="Y36" s="12">
        <f>7500/12</f>
        <v>625</v>
      </c>
      <c r="Z36" s="30">
        <f>Y36/Y$19</f>
        <v>7.4061054636603732E-4</v>
      </c>
      <c r="AA36" s="29">
        <f t="shared" si="98"/>
        <v>7500.0084599470147</v>
      </c>
      <c r="AB36" s="30">
        <f t="shared" si="99"/>
        <v>7.641060652069984E-4</v>
      </c>
      <c r="AC36" s="12">
        <f>7500/12</f>
        <v>625</v>
      </c>
      <c r="AD36" s="30">
        <f>AC36/AC$19</f>
        <v>6.8798429939252075E-4</v>
      </c>
      <c r="AE36" s="12">
        <f>7500/12</f>
        <v>625</v>
      </c>
      <c r="AF36" s="30">
        <f>AE36/AE$19</f>
        <v>6.7172688308034505E-4</v>
      </c>
      <c r="AG36" s="12">
        <f>7500/12</f>
        <v>625</v>
      </c>
      <c r="AH36" s="30">
        <f>AG36/AG$19</f>
        <v>6.7172688308034505E-4</v>
      </c>
      <c r="AI36" s="12">
        <f>7500/12</f>
        <v>625</v>
      </c>
      <c r="AJ36" s="30">
        <f>AI36/AI$19</f>
        <v>8.5550988802708802E-4</v>
      </c>
      <c r="AK36" s="12">
        <f>7500/12</f>
        <v>625</v>
      </c>
      <c r="AL36" s="30">
        <f>AK36/AK$19</f>
        <v>8.0073972874238324E-4</v>
      </c>
      <c r="AM36" s="31"/>
      <c r="AN36" s="12">
        <f>7500/12</f>
        <v>625</v>
      </c>
      <c r="AO36" s="30">
        <f>AN36/AN$19</f>
        <v>8.0073972874238324E-4</v>
      </c>
      <c r="AP36" s="12">
        <f>7500/12</f>
        <v>625</v>
      </c>
      <c r="AQ36" s="30">
        <f>AP36/AP$19</f>
        <v>8.0073972874238324E-4</v>
      </c>
      <c r="AR36" s="12">
        <f>7500/12</f>
        <v>625</v>
      </c>
      <c r="AS36" s="30">
        <f>AR36/AR$19</f>
        <v>8.0073972874238324E-4</v>
      </c>
      <c r="AT36" s="12">
        <f>7500/12</f>
        <v>625</v>
      </c>
      <c r="AU36" s="30">
        <f>AT36/AT$19</f>
        <v>7.5256044301781155E-4</v>
      </c>
      <c r="AV36" s="12">
        <f>7500/12</f>
        <v>625</v>
      </c>
      <c r="AW36" s="30">
        <f>AV36/AV$19</f>
        <v>7.5256044301781155E-4</v>
      </c>
      <c r="AX36" s="12">
        <f>7500/12</f>
        <v>625</v>
      </c>
      <c r="AY36" s="30">
        <f>AX36/AX$19</f>
        <v>7.3058145811659024E-4</v>
      </c>
      <c r="AZ36" s="12">
        <f>7500/12</f>
        <v>625</v>
      </c>
      <c r="BA36" s="30">
        <f>AZ36/AZ$19</f>
        <v>7.3058145811659024E-4</v>
      </c>
      <c r="BB36" s="84">
        <f t="shared" si="2"/>
        <v>7500.0090561906718</v>
      </c>
      <c r="BC36" s="30">
        <f>BB36/BB$19</f>
        <v>7.5045320376497656E-4</v>
      </c>
    </row>
    <row r="37" spans="1:55" s="13" customFormat="1" ht="11" outlineLevel="1" x14ac:dyDescent="0.15">
      <c r="A37" s="3" t="s">
        <v>15</v>
      </c>
      <c r="B37" s="3"/>
      <c r="C37" s="12">
        <v>1200</v>
      </c>
      <c r="D37" s="30">
        <f>C37/$C$19</f>
        <v>1.4286437946520038E-3</v>
      </c>
      <c r="E37" s="12">
        <v>1200</v>
      </c>
      <c r="F37" s="30">
        <f>E37/$E$19</f>
        <v>1.357348856735276E-3</v>
      </c>
      <c r="G37" s="12">
        <v>1200</v>
      </c>
      <c r="H37" s="30">
        <f>G37/$G$19</f>
        <v>1.3200211646781459E-3</v>
      </c>
      <c r="I37" s="12">
        <v>1200</v>
      </c>
      <c r="J37" s="30">
        <f>I37/$I$19</f>
        <v>1.6320572757183328E-3</v>
      </c>
      <c r="K37" s="12">
        <v>1200</v>
      </c>
      <c r="L37" s="30">
        <f>K37/$K$19</f>
        <v>1.5409897136469746E-3</v>
      </c>
      <c r="M37" s="12">
        <v>1200</v>
      </c>
      <c r="N37" s="30">
        <f>M37/$M$19</f>
        <v>1.5409897136469746E-3</v>
      </c>
      <c r="O37" s="12">
        <v>1200</v>
      </c>
      <c r="P37" s="30">
        <f>O37/$O$19</f>
        <v>1.5409897136469746E-3</v>
      </c>
      <c r="Q37" s="12">
        <v>1200</v>
      </c>
      <c r="R37" s="30">
        <f>Q37/$Q$19</f>
        <v>1.5409897136469746E-3</v>
      </c>
      <c r="S37" s="12">
        <v>1200</v>
      </c>
      <c r="T37" s="30">
        <f>S37/$S$19</f>
        <v>1.4595480366882227E-3</v>
      </c>
      <c r="U37" s="12">
        <v>1200</v>
      </c>
      <c r="V37" s="30">
        <f>U37/$U$19</f>
        <v>1.4595480366882227E-3</v>
      </c>
      <c r="W37" s="12">
        <v>1200</v>
      </c>
      <c r="X37" s="30">
        <f>W37/$W$19</f>
        <v>1.4219722490227916E-3</v>
      </c>
      <c r="Y37" s="12">
        <v>1200</v>
      </c>
      <c r="Z37" s="30">
        <f>Y37/$Y$19</f>
        <v>1.4219722490227916E-3</v>
      </c>
      <c r="AA37" s="29">
        <f t="shared" si="98"/>
        <v>14400.016243098267</v>
      </c>
      <c r="AB37" s="30">
        <f t="shared" si="99"/>
        <v>1.467083645197437E-3</v>
      </c>
      <c r="AC37" s="12">
        <v>500</v>
      </c>
      <c r="AD37" s="30">
        <f>AC37/$AC$19</f>
        <v>5.503874395140166E-4</v>
      </c>
      <c r="AE37" s="12">
        <v>500</v>
      </c>
      <c r="AF37" s="30">
        <f>AE37/$AE$19</f>
        <v>5.3738150646427609E-4</v>
      </c>
      <c r="AG37" s="12">
        <v>500</v>
      </c>
      <c r="AH37" s="30">
        <f>AG37/$AG$19</f>
        <v>5.3738150646427609E-4</v>
      </c>
      <c r="AI37" s="12">
        <v>500</v>
      </c>
      <c r="AJ37" s="30">
        <f>AI37/$AI$19</f>
        <v>6.8440791042167039E-4</v>
      </c>
      <c r="AK37" s="12">
        <v>500</v>
      </c>
      <c r="AL37" s="30">
        <f>AK37/$AK$19</f>
        <v>6.4059178299390662E-4</v>
      </c>
      <c r="AM37" s="31">
        <v>4.5445791513417464E-3</v>
      </c>
      <c r="AN37" s="12">
        <v>500</v>
      </c>
      <c r="AO37" s="30">
        <f>AN37/$AN$19</f>
        <v>6.4059178299390662E-4</v>
      </c>
      <c r="AP37" s="12">
        <v>500</v>
      </c>
      <c r="AQ37" s="30">
        <f>AP37/$AP$19</f>
        <v>6.4059178299390662E-4</v>
      </c>
      <c r="AR37" s="12">
        <v>500</v>
      </c>
      <c r="AS37" s="30">
        <f>AR37/$AR$19</f>
        <v>6.4059178299390662E-4</v>
      </c>
      <c r="AT37" s="12">
        <v>500</v>
      </c>
      <c r="AU37" s="30">
        <f>AT37/$AT$19</f>
        <v>6.0204835441424924E-4</v>
      </c>
      <c r="AV37" s="12">
        <v>500</v>
      </c>
      <c r="AW37" s="30">
        <f>AV37/$AV$19</f>
        <v>6.0204835441424924E-4</v>
      </c>
      <c r="AX37" s="12">
        <v>500</v>
      </c>
      <c r="AY37" s="30">
        <f>AX37/$AX$19</f>
        <v>5.8446516649327224E-4</v>
      </c>
      <c r="AZ37" s="12">
        <v>500</v>
      </c>
      <c r="BA37" s="30">
        <f>AZ37/$AZ$19</f>
        <v>5.8446516649327224E-4</v>
      </c>
      <c r="BB37" s="84">
        <f t="shared" si="2"/>
        <v>6000.011789531688</v>
      </c>
      <c r="BC37" s="30">
        <f>BB37/$BB$19</f>
        <v>6.0036301774396333E-4</v>
      </c>
    </row>
    <row r="38" spans="1:55" s="13" customFormat="1" ht="11" outlineLevel="1" x14ac:dyDescent="0.15">
      <c r="A38" s="3" t="s">
        <v>81</v>
      </c>
      <c r="B38" s="3"/>
      <c r="C38" s="12">
        <v>500</v>
      </c>
      <c r="D38" s="30">
        <f>C38/$C$19</f>
        <v>5.9526824777166823E-4</v>
      </c>
      <c r="E38" s="12">
        <v>500</v>
      </c>
      <c r="F38" s="30">
        <f>E38/$E$19</f>
        <v>5.6556202363969841E-4</v>
      </c>
      <c r="G38" s="12">
        <v>500</v>
      </c>
      <c r="H38" s="30">
        <f>G38/$G$19</f>
        <v>5.5000881861589409E-4</v>
      </c>
      <c r="I38" s="12">
        <v>500</v>
      </c>
      <c r="J38" s="30">
        <f>I38/$I$19</f>
        <v>6.8002386488263868E-4</v>
      </c>
      <c r="K38" s="12">
        <v>500</v>
      </c>
      <c r="L38" s="30">
        <f>K38/$K$19</f>
        <v>6.4207904735290604E-4</v>
      </c>
      <c r="M38" s="12">
        <v>500</v>
      </c>
      <c r="N38" s="30">
        <f>M38/$M$19</f>
        <v>6.4207904735290604E-4</v>
      </c>
      <c r="O38" s="12">
        <v>500</v>
      </c>
      <c r="P38" s="30">
        <f>O38/$O$19</f>
        <v>6.4207904735290604E-4</v>
      </c>
      <c r="Q38" s="12">
        <v>500</v>
      </c>
      <c r="R38" s="30">
        <f>Q38/$Q$19</f>
        <v>6.4207904735290604E-4</v>
      </c>
      <c r="S38" s="12">
        <v>500</v>
      </c>
      <c r="T38" s="30">
        <f>S38/$S$19</f>
        <v>6.0814501528675942E-4</v>
      </c>
      <c r="U38" s="12">
        <v>500</v>
      </c>
      <c r="V38" s="30">
        <f>U38/$U$19</f>
        <v>6.0814501528675942E-4</v>
      </c>
      <c r="W38" s="12">
        <v>500</v>
      </c>
      <c r="X38" s="30">
        <f>W38/$W$19</f>
        <v>5.9248843709282977E-4</v>
      </c>
      <c r="Y38" s="12">
        <v>500</v>
      </c>
      <c r="Z38" s="30">
        <f>Y38/$Y$19</f>
        <v>5.9248843709282977E-4</v>
      </c>
      <c r="AA38" s="29">
        <f t="shared" si="98"/>
        <v>6000.0067679576123</v>
      </c>
      <c r="AB38" s="30">
        <f t="shared" si="99"/>
        <v>6.1128485216559885E-4</v>
      </c>
      <c r="AC38" s="12">
        <v>500</v>
      </c>
      <c r="AD38" s="30">
        <f>AC38/$AC$19</f>
        <v>5.503874395140166E-4</v>
      </c>
      <c r="AE38" s="12">
        <v>500</v>
      </c>
      <c r="AF38" s="30">
        <f>AE38/$AE$19</f>
        <v>5.3738150646427609E-4</v>
      </c>
      <c r="AG38" s="12">
        <v>500</v>
      </c>
      <c r="AH38" s="30">
        <f>AG38/$AG$19</f>
        <v>5.3738150646427609E-4</v>
      </c>
      <c r="AI38" s="12">
        <v>500</v>
      </c>
      <c r="AJ38" s="30">
        <f>AI38/$AI$19</f>
        <v>6.8440791042167039E-4</v>
      </c>
      <c r="AK38" s="12">
        <v>500</v>
      </c>
      <c r="AL38" s="30">
        <f>AK38/$AK$19</f>
        <v>6.4059178299390662E-4</v>
      </c>
      <c r="AM38" s="31">
        <v>0</v>
      </c>
      <c r="AN38" s="12">
        <v>500</v>
      </c>
      <c r="AO38" s="30">
        <f>AN38/$AN$19</f>
        <v>6.4059178299390662E-4</v>
      </c>
      <c r="AP38" s="12">
        <v>500</v>
      </c>
      <c r="AQ38" s="30">
        <f>AP38/$AP$19</f>
        <v>6.4059178299390662E-4</v>
      </c>
      <c r="AR38" s="12">
        <v>500</v>
      </c>
      <c r="AS38" s="30">
        <f>AR38/$AR$19</f>
        <v>6.4059178299390662E-4</v>
      </c>
      <c r="AT38" s="12">
        <v>500</v>
      </c>
      <c r="AU38" s="30">
        <f>AT38/$AT$19</f>
        <v>6.0204835441424924E-4</v>
      </c>
      <c r="AV38" s="12">
        <v>500</v>
      </c>
      <c r="AW38" s="30">
        <f>AV38/$AV$19</f>
        <v>6.0204835441424924E-4</v>
      </c>
      <c r="AX38" s="12">
        <v>500</v>
      </c>
      <c r="AY38" s="30">
        <f>AX38/$AX$19</f>
        <v>5.8446516649327224E-4</v>
      </c>
      <c r="AZ38" s="12">
        <v>500</v>
      </c>
      <c r="BA38" s="30">
        <f>AZ38/$AZ$19</f>
        <v>5.8446516649327224E-4</v>
      </c>
      <c r="BB38" s="84">
        <f t="shared" si="2"/>
        <v>6000.0072449525369</v>
      </c>
      <c r="BC38" s="30">
        <f>BB38/$BB$19</f>
        <v>6.0036256301198123E-4</v>
      </c>
    </row>
    <row r="39" spans="1:55" s="13" customFormat="1" ht="11" outlineLevel="1" x14ac:dyDescent="0.15">
      <c r="A39" s="3" t="s">
        <v>134</v>
      </c>
      <c r="B39" s="3"/>
      <c r="C39" s="12">
        <v>5000</v>
      </c>
      <c r="D39" s="30">
        <f>C39/$C$19</f>
        <v>5.9526824777166821E-3</v>
      </c>
      <c r="E39" s="12">
        <v>5000</v>
      </c>
      <c r="F39" s="30">
        <f>E39/$E$19</f>
        <v>5.6556202363969837E-3</v>
      </c>
      <c r="G39" s="12">
        <v>5000</v>
      </c>
      <c r="H39" s="30">
        <f>G39/$G$19</f>
        <v>5.5000881861589409E-3</v>
      </c>
      <c r="I39" s="12">
        <v>5000</v>
      </c>
      <c r="J39" s="30">
        <f>I39/$I$19</f>
        <v>6.8002386488263868E-3</v>
      </c>
      <c r="K39" s="12">
        <v>5000</v>
      </c>
      <c r="L39" s="30">
        <f>K39/$K$19</f>
        <v>6.4207904735290606E-3</v>
      </c>
      <c r="M39" s="12">
        <v>5000</v>
      </c>
      <c r="N39" s="30">
        <f>M39/$M$19</f>
        <v>6.4207904735290606E-3</v>
      </c>
      <c r="O39" s="12">
        <v>5000</v>
      </c>
      <c r="P39" s="30">
        <f>O39/$O$19</f>
        <v>6.4207904735290606E-3</v>
      </c>
      <c r="Q39" s="12">
        <v>5000</v>
      </c>
      <c r="R39" s="30">
        <f>Q39/$Q$19</f>
        <v>6.4207904735290606E-3</v>
      </c>
      <c r="S39" s="12">
        <v>5000</v>
      </c>
      <c r="T39" s="30">
        <f>S39/$S$19</f>
        <v>6.0814501528675948E-3</v>
      </c>
      <c r="U39" s="12">
        <v>5000</v>
      </c>
      <c r="V39" s="30">
        <f>U39/$U$19</f>
        <v>6.0814501528675948E-3</v>
      </c>
      <c r="W39" s="12">
        <v>5000</v>
      </c>
      <c r="X39" s="30">
        <f>W39/$W$19</f>
        <v>5.9248843709282985E-3</v>
      </c>
      <c r="Y39" s="12">
        <v>5000</v>
      </c>
      <c r="Z39" s="30">
        <f>Y39/$Y$19</f>
        <v>5.9248843709282985E-3</v>
      </c>
      <c r="AA39" s="29">
        <f t="shared" si="98"/>
        <v>60000.067679576117</v>
      </c>
      <c r="AB39" s="30">
        <f t="shared" si="99"/>
        <v>6.1128485216559872E-3</v>
      </c>
      <c r="AC39" s="12">
        <v>200</v>
      </c>
      <c r="AD39" s="30">
        <f>AC39/$AC$19</f>
        <v>2.2015497580560664E-4</v>
      </c>
      <c r="AE39" s="12">
        <v>200</v>
      </c>
      <c r="AF39" s="30">
        <f>AE39/$AE$19</f>
        <v>2.1495260258571044E-4</v>
      </c>
      <c r="AG39" s="12">
        <v>200</v>
      </c>
      <c r="AH39" s="30">
        <f>AG39/$AG$19</f>
        <v>2.1495260258571044E-4</v>
      </c>
      <c r="AI39" s="12">
        <v>200</v>
      </c>
      <c r="AJ39" s="30">
        <f>AI39/$AI$19</f>
        <v>2.7376316416866819E-4</v>
      </c>
      <c r="AK39" s="12">
        <v>200</v>
      </c>
      <c r="AL39" s="30">
        <f>AK39/$AK$19</f>
        <v>2.5623671319756266E-4</v>
      </c>
      <c r="AM39" s="31">
        <v>2</v>
      </c>
      <c r="AN39" s="12">
        <v>200</v>
      </c>
      <c r="AO39" s="30">
        <f>AN39/$AN$19</f>
        <v>2.5623671319756266E-4</v>
      </c>
      <c r="AP39" s="12">
        <v>200</v>
      </c>
      <c r="AQ39" s="30">
        <f>AP39/$AP$19</f>
        <v>2.5623671319756266E-4</v>
      </c>
      <c r="AR39" s="12">
        <v>200</v>
      </c>
      <c r="AS39" s="30">
        <f>AR39/$AR$19</f>
        <v>2.5623671319756266E-4</v>
      </c>
      <c r="AT39" s="12">
        <v>200</v>
      </c>
      <c r="AU39" s="30">
        <f>AT39/$AT$19</f>
        <v>2.4081934176569967E-4</v>
      </c>
      <c r="AV39" s="12">
        <v>200</v>
      </c>
      <c r="AW39" s="30">
        <f>AV39/$AV$19</f>
        <v>2.4081934176569967E-4</v>
      </c>
      <c r="AX39" s="12">
        <v>200</v>
      </c>
      <c r="AY39" s="30">
        <f>AX39/$AX$19</f>
        <v>2.3378606659730887E-4</v>
      </c>
      <c r="AZ39" s="12">
        <v>200</v>
      </c>
      <c r="BA39" s="30">
        <f>AZ39/$AZ$19</f>
        <v>2.3378606659730887E-4</v>
      </c>
      <c r="BB39" s="84">
        <f t="shared" si="2"/>
        <v>2402.002897981014</v>
      </c>
      <c r="BC39" s="30">
        <f>BB39/$BB$19</f>
        <v>2.4034514581748568E-4</v>
      </c>
    </row>
    <row r="40" spans="1:55" s="13" customFormat="1" ht="12" customHeight="1" outlineLevel="1" x14ac:dyDescent="0.15">
      <c r="A40" s="3" t="s">
        <v>18</v>
      </c>
      <c r="B40" s="3"/>
      <c r="C40" s="12">
        <v>5000</v>
      </c>
      <c r="D40" s="30">
        <f>C40/$C$19</f>
        <v>5.9526824777166821E-3</v>
      </c>
      <c r="E40" s="12">
        <v>5000</v>
      </c>
      <c r="F40" s="30">
        <f>E40/$E$19</f>
        <v>5.6556202363969837E-3</v>
      </c>
      <c r="G40" s="12">
        <v>5000</v>
      </c>
      <c r="H40" s="30">
        <f>G40/$G$19</f>
        <v>5.5000881861589409E-3</v>
      </c>
      <c r="I40" s="12">
        <v>5000</v>
      </c>
      <c r="J40" s="30">
        <f>I40/$I$19</f>
        <v>6.8002386488263868E-3</v>
      </c>
      <c r="K40" s="12">
        <v>5000</v>
      </c>
      <c r="L40" s="30">
        <f>K40/$K$19</f>
        <v>6.4207904735290606E-3</v>
      </c>
      <c r="M40" s="12">
        <v>5000</v>
      </c>
      <c r="N40" s="30">
        <f>M40/$M$19</f>
        <v>6.4207904735290606E-3</v>
      </c>
      <c r="O40" s="12">
        <v>5000</v>
      </c>
      <c r="P40" s="30">
        <f>O40/$O$19</f>
        <v>6.4207904735290606E-3</v>
      </c>
      <c r="Q40" s="12">
        <v>5000</v>
      </c>
      <c r="R40" s="30">
        <f>Q40/$Q$19</f>
        <v>6.4207904735290606E-3</v>
      </c>
      <c r="S40" s="12">
        <v>5000</v>
      </c>
      <c r="T40" s="30">
        <f>S40/$S$19</f>
        <v>6.0814501528675948E-3</v>
      </c>
      <c r="U40" s="12">
        <v>5000</v>
      </c>
      <c r="V40" s="30">
        <f>U40/$U$19</f>
        <v>6.0814501528675948E-3</v>
      </c>
      <c r="W40" s="12">
        <v>5000</v>
      </c>
      <c r="X40" s="30">
        <f>W40/$W$19</f>
        <v>5.9248843709282985E-3</v>
      </c>
      <c r="Y40" s="12">
        <v>5000</v>
      </c>
      <c r="Z40" s="30">
        <f>Y40/$Y$19</f>
        <v>5.9248843709282985E-3</v>
      </c>
      <c r="AA40" s="29">
        <f t="shared" si="98"/>
        <v>60000.067679576117</v>
      </c>
      <c r="AB40" s="30">
        <f t="shared" si="99"/>
        <v>6.1128485216559872E-3</v>
      </c>
      <c r="AC40" s="12">
        <v>800</v>
      </c>
      <c r="AD40" s="30">
        <f>AC40/$AC$19</f>
        <v>8.8061990322242656E-4</v>
      </c>
      <c r="AE40" s="12">
        <v>800</v>
      </c>
      <c r="AF40" s="30">
        <f>AE40/$AE$19</f>
        <v>8.5981041034284176E-4</v>
      </c>
      <c r="AG40" s="12">
        <v>800</v>
      </c>
      <c r="AH40" s="30">
        <f>AG40/$AG$19</f>
        <v>8.5981041034284176E-4</v>
      </c>
      <c r="AI40" s="12">
        <v>800</v>
      </c>
      <c r="AJ40" s="30">
        <f>AI40/$AI$19</f>
        <v>1.0950526566746728E-3</v>
      </c>
      <c r="AK40" s="12">
        <v>800</v>
      </c>
      <c r="AL40" s="30">
        <f>AK40/$AK$19</f>
        <v>1.0249468527902506E-3</v>
      </c>
      <c r="AM40" s="31">
        <v>1.7799601676088505E-3</v>
      </c>
      <c r="AN40" s="12">
        <v>800</v>
      </c>
      <c r="AO40" s="30">
        <f>AN40/$AN$19</f>
        <v>1.0249468527902506E-3</v>
      </c>
      <c r="AP40" s="12">
        <v>800</v>
      </c>
      <c r="AQ40" s="30">
        <f>AP40/$AP$19</f>
        <v>1.0249468527902506E-3</v>
      </c>
      <c r="AR40" s="12">
        <v>800</v>
      </c>
      <c r="AS40" s="30">
        <f>AR40/$AR$19</f>
        <v>1.0249468527902506E-3</v>
      </c>
      <c r="AT40" s="12">
        <v>800</v>
      </c>
      <c r="AU40" s="30">
        <f>AT40/$AT$19</f>
        <v>9.6327736706279868E-4</v>
      </c>
      <c r="AV40" s="12">
        <v>800</v>
      </c>
      <c r="AW40" s="30">
        <f>AV40/$AV$19</f>
        <v>9.6327736706279868E-4</v>
      </c>
      <c r="AX40" s="12">
        <v>800</v>
      </c>
      <c r="AY40" s="30">
        <f>AX40/$AX$19</f>
        <v>9.3514426638923549E-4</v>
      </c>
      <c r="AZ40" s="12">
        <v>800</v>
      </c>
      <c r="BA40" s="30">
        <f>AZ40/$AZ$19</f>
        <v>9.3514426638923549E-4</v>
      </c>
      <c r="BB40" s="84">
        <f t="shared" si="2"/>
        <v>9600.0133718842244</v>
      </c>
      <c r="BC40" s="30">
        <f>BB40/$BB$19</f>
        <v>9.6058027892252944E-4</v>
      </c>
    </row>
    <row r="41" spans="1:55" s="13" customFormat="1" ht="14" customHeight="1" outlineLevel="1" x14ac:dyDescent="0.15">
      <c r="A41" s="3" t="s">
        <v>129</v>
      </c>
      <c r="B41" s="3"/>
      <c r="C41" s="12">
        <v>8000</v>
      </c>
      <c r="D41" s="30">
        <f>C41/$C$19</f>
        <v>9.5242919643466917E-3</v>
      </c>
      <c r="E41" s="12">
        <v>8000</v>
      </c>
      <c r="F41" s="30">
        <f>E41/$E$19</f>
        <v>9.0489923782351746E-3</v>
      </c>
      <c r="G41" s="12">
        <v>8000</v>
      </c>
      <c r="H41" s="30">
        <f>G41/$G$19</f>
        <v>8.8001410978543054E-3</v>
      </c>
      <c r="I41" s="12">
        <v>8000</v>
      </c>
      <c r="J41" s="30">
        <f>I41/$I$19</f>
        <v>1.0880381838122219E-2</v>
      </c>
      <c r="K41" s="12">
        <v>8000</v>
      </c>
      <c r="L41" s="30">
        <f>K41/$K$19</f>
        <v>1.0273264757646497E-2</v>
      </c>
      <c r="M41" s="12">
        <v>8000</v>
      </c>
      <c r="N41" s="30">
        <f>M41/$M$19</f>
        <v>1.0273264757646497E-2</v>
      </c>
      <c r="O41" s="12">
        <v>8000</v>
      </c>
      <c r="P41" s="30">
        <f>O41/$O$19</f>
        <v>1.0273264757646497E-2</v>
      </c>
      <c r="Q41" s="12">
        <v>8000</v>
      </c>
      <c r="R41" s="30">
        <f>Q41/$Q$19</f>
        <v>1.0273264757646497E-2</v>
      </c>
      <c r="S41" s="12">
        <v>8000</v>
      </c>
      <c r="T41" s="30">
        <f>S41/$S$19</f>
        <v>9.7303202445881507E-3</v>
      </c>
      <c r="U41" s="12">
        <v>8000</v>
      </c>
      <c r="V41" s="30">
        <f>U41/$U$19</f>
        <v>9.7303202445881507E-3</v>
      </c>
      <c r="W41" s="12">
        <v>8000</v>
      </c>
      <c r="X41" s="30">
        <f>W41/$W$19</f>
        <v>9.4798149934852763E-3</v>
      </c>
      <c r="Y41" s="12">
        <v>8000</v>
      </c>
      <c r="Z41" s="30">
        <f>Y41/$Y$19</f>
        <v>9.4798149934852763E-3</v>
      </c>
      <c r="AA41" s="29">
        <f t="shared" si="98"/>
        <v>96000.108287321797</v>
      </c>
      <c r="AB41" s="30">
        <f t="shared" si="99"/>
        <v>9.7805576346495816E-3</v>
      </c>
      <c r="AC41" s="12">
        <v>400</v>
      </c>
      <c r="AD41" s="30">
        <f>AC41/$AC$19</f>
        <v>4.4030995161121328E-4</v>
      </c>
      <c r="AE41" s="12">
        <v>400</v>
      </c>
      <c r="AF41" s="30">
        <f>AE41/$AE$19</f>
        <v>4.2990520517142088E-4</v>
      </c>
      <c r="AG41" s="12">
        <v>400</v>
      </c>
      <c r="AH41" s="30">
        <f>AG41/$AG$19</f>
        <v>4.2990520517142088E-4</v>
      </c>
      <c r="AI41" s="12">
        <v>400</v>
      </c>
      <c r="AJ41" s="30">
        <f>AI41/$AI$19</f>
        <v>5.4752632833733638E-4</v>
      </c>
      <c r="AK41" s="12">
        <v>400</v>
      </c>
      <c r="AL41" s="30">
        <f>AK41/$AK$19</f>
        <v>5.1247342639512531E-4</v>
      </c>
      <c r="AM41" s="31">
        <v>4.9232940806202249E-5</v>
      </c>
      <c r="AN41" s="12">
        <v>400</v>
      </c>
      <c r="AO41" s="30">
        <f>AN41/$AN$19</f>
        <v>5.1247342639512531E-4</v>
      </c>
      <c r="AP41" s="12">
        <v>400</v>
      </c>
      <c r="AQ41" s="30">
        <f>AP41/$AP$19</f>
        <v>5.1247342639512531E-4</v>
      </c>
      <c r="AR41" s="12">
        <v>400</v>
      </c>
      <c r="AS41" s="30">
        <f>AR41/$AR$19</f>
        <v>5.1247342639512531E-4</v>
      </c>
      <c r="AT41" s="12">
        <v>400</v>
      </c>
      <c r="AU41" s="30">
        <f>AT41/$AT$19</f>
        <v>4.8163868353139934E-4</v>
      </c>
      <c r="AV41" s="12">
        <v>400</v>
      </c>
      <c r="AW41" s="30">
        <f>AV41/$AV$19</f>
        <v>4.8163868353139934E-4</v>
      </c>
      <c r="AX41" s="12">
        <v>400</v>
      </c>
      <c r="AY41" s="30">
        <f>AX41/$AX$19</f>
        <v>4.6757213319461774E-4</v>
      </c>
      <c r="AZ41" s="12">
        <v>400</v>
      </c>
      <c r="BA41" s="30">
        <f>AZ41/$AZ$19</f>
        <v>4.6757213319461774E-4</v>
      </c>
      <c r="BB41" s="84">
        <f t="shared" si="2"/>
        <v>4800.005845194969</v>
      </c>
      <c r="BC41" s="30">
        <f>BB41/$BB$19</f>
        <v>4.8029005533584802E-4</v>
      </c>
    </row>
    <row r="42" spans="1:55" s="13" customFormat="1" ht="10" customHeight="1" x14ac:dyDescent="0.15">
      <c r="A42" s="3" t="s">
        <v>155</v>
      </c>
      <c r="B42" s="3"/>
      <c r="C42" s="12">
        <f>SUM(C33:C41)</f>
        <v>50623.723526999995</v>
      </c>
      <c r="D42" s="30">
        <f>C42/C$19</f>
        <v>6.0269390399189327E-2</v>
      </c>
      <c r="E42" s="12">
        <f>SUM(E33:E41)</f>
        <v>51947.289992999999</v>
      </c>
      <c r="F42" s="30">
        <f>E42/E$19</f>
        <v>5.8758828902078661E-2</v>
      </c>
      <c r="G42" s="12">
        <f>SUM(G33:G41)</f>
        <v>52697.289992999999</v>
      </c>
      <c r="H42" s="30">
        <f>G42/G$19</f>
        <v>5.7967948426618218E-2</v>
      </c>
      <c r="I42" s="12">
        <f>SUM(I33:I41)</f>
        <v>47483.049392999994</v>
      </c>
      <c r="J42" s="30">
        <f>I42/I$19</f>
        <v>6.457921352928217E-2</v>
      </c>
      <c r="K42" s="12">
        <f>SUM(K33:K41)</f>
        <v>48786.609542999999</v>
      </c>
      <c r="L42" s="30">
        <f>K42/K$19</f>
        <v>6.2649719557895264E-2</v>
      </c>
      <c r="M42" s="12">
        <f>SUM(M33:M41)</f>
        <v>48786.609542999999</v>
      </c>
      <c r="N42" s="30">
        <f>M42/M$19</f>
        <v>6.2649719557895264E-2</v>
      </c>
      <c r="O42" s="12">
        <f>SUM(O33:O41)</f>
        <v>48786.609542999999</v>
      </c>
      <c r="P42" s="30">
        <f>O42/O$19</f>
        <v>6.2649719557895264E-2</v>
      </c>
      <c r="Q42" s="12">
        <f>SUM(Q33:Q41)</f>
        <v>48786.609542999999</v>
      </c>
      <c r="R42" s="30">
        <f>Q42/Q$19</f>
        <v>6.2649719557895264E-2</v>
      </c>
      <c r="S42" s="12">
        <f>SUM(S33:S41)</f>
        <v>50090.169692999996</v>
      </c>
      <c r="T42" s="30">
        <f>S42/S$19</f>
        <v>6.0924174027331718E-2</v>
      </c>
      <c r="U42" s="12">
        <f>SUM(U33:U41)</f>
        <v>50090.169692999996</v>
      </c>
      <c r="V42" s="30">
        <f>U42/U$19</f>
        <v>6.0924174027331718E-2</v>
      </c>
      <c r="W42" s="12">
        <f>SUM(W33:W41)</f>
        <v>50741.949767999999</v>
      </c>
      <c r="X42" s="30">
        <f>W42/W$19</f>
        <v>6.0128037026170394E-2</v>
      </c>
      <c r="Y42" s="12">
        <f>SUM(Y33:Y41)</f>
        <v>50741.949767999999</v>
      </c>
      <c r="Z42" s="30">
        <f>Y42/Y$19</f>
        <v>6.0128037026170394E-2</v>
      </c>
      <c r="AA42" s="12">
        <f>SUM(AA33:AA41)</f>
        <v>599562.70415064448</v>
      </c>
      <c r="AB42" s="30">
        <f>AA42/AA$19</f>
        <v>6.1083864259621541E-2</v>
      </c>
      <c r="AC42" s="12">
        <f>SUM(AC33:AC41)</f>
        <v>14930.637049999999</v>
      </c>
      <c r="AD42" s="30">
        <f>AC42/AC$19</f>
        <v>1.643527019252522E-2</v>
      </c>
      <c r="AE42" s="12">
        <f>SUM(AE33:AE41)</f>
        <v>15205.470950000001</v>
      </c>
      <c r="AF42" s="30">
        <f>AE42/AE$19</f>
        <v>1.6342277771219577E-2</v>
      </c>
      <c r="AG42" s="12">
        <f>SUM(AG33:AG41)</f>
        <v>15205.470950000001</v>
      </c>
      <c r="AH42" s="30">
        <f>AG42/AG$19</f>
        <v>1.6342277771219577E-2</v>
      </c>
      <c r="AI42" s="12">
        <f>SUM(AI33:AI41)</f>
        <v>12706.980949999999</v>
      </c>
      <c r="AJ42" s="30">
        <f>AI42/AI$19</f>
        <v>1.7393516559514943E-2</v>
      </c>
      <c r="AK42" s="12">
        <f>SUM(AK33:AK41)</f>
        <v>13331.603450000001</v>
      </c>
      <c r="AL42" s="30">
        <f>AK42/AK$19</f>
        <v>1.7080231248406432E-2</v>
      </c>
      <c r="AM42" s="31"/>
      <c r="AN42" s="12">
        <f>SUM(AN33:AN41)</f>
        <v>13331.603450000001</v>
      </c>
      <c r="AO42" s="30">
        <f>AN42/AN$19</f>
        <v>1.7080231248406432E-2</v>
      </c>
      <c r="AP42" s="12">
        <f>SUM(AP33:AP41)</f>
        <v>13331.603450000001</v>
      </c>
      <c r="AQ42" s="30">
        <f>AP42/AP$19</f>
        <v>1.7080231248406432E-2</v>
      </c>
      <c r="AR42" s="12">
        <f>SUM(AR33:AR41)</f>
        <v>13331.603450000001</v>
      </c>
      <c r="AS42" s="30">
        <f>AR42/AR$19</f>
        <v>1.7080231248406432E-2</v>
      </c>
      <c r="AT42" s="12">
        <f>SUM(AT33:AT41)</f>
        <v>13956.22595</v>
      </c>
      <c r="AU42" s="30">
        <f>AT42/AT$19</f>
        <v>1.6804645734061884E-2</v>
      </c>
      <c r="AV42" s="12">
        <f>SUM(AV33:AV41)</f>
        <v>13956.22595</v>
      </c>
      <c r="AW42" s="30">
        <f>AV42/AV$19</f>
        <v>1.6804645734061884E-2</v>
      </c>
      <c r="AX42" s="12">
        <f>SUM(AX33:AX41)</f>
        <v>14268.537200000001</v>
      </c>
      <c r="AY42" s="30">
        <f>AX42/AX$19</f>
        <v>1.6678925940426897E-2</v>
      </c>
      <c r="AZ42" s="12">
        <f>SUM(AZ33:AZ41)</f>
        <v>14268.537200000001</v>
      </c>
      <c r="BA42" s="30">
        <f>AZ42/AZ$19</f>
        <v>1.6678925940426897E-2</v>
      </c>
      <c r="BB42" s="84">
        <f t="shared" si="2"/>
        <v>167824.70180141064</v>
      </c>
      <c r="BC42" s="30">
        <f>BB42/BB$19</f>
        <v>1.6792591074781843E-2</v>
      </c>
    </row>
    <row r="43" spans="1:55" s="13" customFormat="1" ht="11" hidden="1" outlineLevel="2" x14ac:dyDescent="0.15">
      <c r="A43" s="74" t="s">
        <v>85</v>
      </c>
      <c r="B43" s="3"/>
      <c r="C43" s="12"/>
      <c r="D43" s="30"/>
      <c r="E43" s="12"/>
      <c r="F43" s="30"/>
      <c r="G43" s="12"/>
      <c r="H43" s="30"/>
      <c r="I43" s="12"/>
      <c r="J43" s="30"/>
      <c r="K43" s="12"/>
      <c r="L43" s="30"/>
      <c r="M43" s="12"/>
      <c r="N43" s="30"/>
      <c r="O43" s="12"/>
      <c r="P43" s="30"/>
      <c r="Q43" s="12"/>
      <c r="R43" s="30"/>
      <c r="S43" s="12"/>
      <c r="T43" s="30"/>
      <c r="U43" s="12"/>
      <c r="V43" s="30"/>
      <c r="W43" s="12"/>
      <c r="X43" s="30"/>
      <c r="Y43" s="12"/>
      <c r="Z43" s="30"/>
      <c r="AA43" s="29"/>
      <c r="AB43" s="30"/>
      <c r="AC43" s="12"/>
      <c r="AD43" s="30"/>
      <c r="AE43" s="12"/>
      <c r="AF43" s="30"/>
      <c r="AG43" s="12"/>
      <c r="AH43" s="30"/>
      <c r="AI43" s="12"/>
      <c r="AJ43" s="30"/>
      <c r="AK43" s="12"/>
      <c r="AL43" s="30"/>
      <c r="AM43" s="31"/>
      <c r="AN43" s="12"/>
      <c r="AO43" s="30"/>
      <c r="AP43" s="12"/>
      <c r="AQ43" s="30"/>
      <c r="AR43" s="12"/>
      <c r="AS43" s="30"/>
      <c r="AT43" s="12"/>
      <c r="AU43" s="30"/>
      <c r="AV43" s="12"/>
      <c r="AW43" s="30"/>
      <c r="AX43" s="12"/>
      <c r="AY43" s="30"/>
      <c r="AZ43" s="12"/>
      <c r="BA43" s="30"/>
      <c r="BB43" s="84"/>
      <c r="BC43" s="30"/>
    </row>
    <row r="44" spans="1:55" s="13" customFormat="1" ht="11" hidden="1" outlineLevel="2" x14ac:dyDescent="0.15">
      <c r="A44" s="3" t="s">
        <v>10</v>
      </c>
      <c r="B44" s="3"/>
      <c r="C44" s="12">
        <f>C19*2.2%</f>
        <v>18479.063919799999</v>
      </c>
      <c r="D44" s="30">
        <f t="shared" ref="D44:D52" si="104">C44/$C$19</f>
        <v>2.1999999999999999E-2</v>
      </c>
      <c r="E44" s="12">
        <f>E19*2.2%</f>
        <v>19449.6793282</v>
      </c>
      <c r="F44" s="30">
        <f t="shared" ref="F44:F52" si="105">E44/$E$19</f>
        <v>2.2000000000000002E-2</v>
      </c>
      <c r="G44" s="12">
        <f>G19*2.2%</f>
        <v>19999.6793282</v>
      </c>
      <c r="H44" s="30">
        <f t="shared" ref="H44:H52" si="106">G44/$G$19</f>
        <v>2.2000000000000002E-2</v>
      </c>
      <c r="I44" s="12">
        <f>I19*1.7%</f>
        <v>12499.561322699999</v>
      </c>
      <c r="J44" s="30">
        <f t="shared" ref="J44:J52" si="107">I44/$I$19</f>
        <v>1.7000000000000001E-2</v>
      </c>
      <c r="K44" s="12">
        <f>K19*1.7%</f>
        <v>13238.245407700002</v>
      </c>
      <c r="L44" s="30">
        <f t="shared" ref="L44:L52" si="108">K44/$K$19</f>
        <v>1.7000000000000001E-2</v>
      </c>
      <c r="M44" s="12">
        <f>M19*1.7%</f>
        <v>13238.245407700002</v>
      </c>
      <c r="N44" s="30">
        <f t="shared" ref="N44:N52" si="109">M44/$M$19</f>
        <v>1.7000000000000001E-2</v>
      </c>
      <c r="O44" s="12">
        <f>O19*1.7%</f>
        <v>13238.245407700002</v>
      </c>
      <c r="P44" s="30">
        <f t="shared" ref="P44:P52" si="110">O44/$O$19</f>
        <v>1.7000000000000001E-2</v>
      </c>
      <c r="Q44" s="12">
        <f>Q19*1.7%</f>
        <v>13238.245407700002</v>
      </c>
      <c r="R44" s="30">
        <f t="shared" ref="R44:R52" si="111">Q44/$Q$19</f>
        <v>1.7000000000000001E-2</v>
      </c>
      <c r="S44" s="12">
        <f>S19*1.7%</f>
        <v>13976.929492699999</v>
      </c>
      <c r="T44" s="30">
        <f t="shared" ref="T44:T52" si="112">S44/$S$19</f>
        <v>1.7000000000000001E-2</v>
      </c>
      <c r="U44" s="12">
        <f>U19*1.7%</f>
        <v>13976.929492699999</v>
      </c>
      <c r="V44" s="30">
        <f t="shared" ref="V44:V52" si="113">U44/$U$19</f>
        <v>1.7000000000000001E-2</v>
      </c>
      <c r="W44" s="12">
        <f>W19*1.7%</f>
        <v>14346.271535200001</v>
      </c>
      <c r="X44" s="30">
        <f t="shared" ref="X44:X52" si="114">W44/$W$19</f>
        <v>1.7000000000000001E-2</v>
      </c>
      <c r="Y44" s="12">
        <f>Y19*1.7%</f>
        <v>14346.271535200001</v>
      </c>
      <c r="Z44" s="30">
        <f t="shared" ref="Z44:Z52" si="115">Y44/$Y$19</f>
        <v>1.7000000000000001E-2</v>
      </c>
      <c r="AA44" s="29">
        <f t="shared" ref="AA44:AA53" si="116">SUM(C44:Y44)</f>
        <v>180027.56958550002</v>
      </c>
      <c r="AB44" s="30">
        <f t="shared" ref="AB44:AB53" si="117">AA44/$AA$19</f>
        <v>1.8341333687739249E-2</v>
      </c>
      <c r="AC44" s="12">
        <f>AC19*2.2%</f>
        <v>19985.921208</v>
      </c>
      <c r="AD44" s="30">
        <f t="shared" ref="AD44:AD52" si="118">AC44/$AC$19</f>
        <v>2.2000000000000002E-2</v>
      </c>
      <c r="AE44" s="12">
        <f>AE19*2.2%</f>
        <v>20469.628872000001</v>
      </c>
      <c r="AF44" s="30">
        <f t="shared" ref="AF44:AF52" si="119">AE44/$AE$19</f>
        <v>2.2000000000000002E-2</v>
      </c>
      <c r="AG44" s="12">
        <f>AG19*2.2%</f>
        <v>20469.628872000001</v>
      </c>
      <c r="AH44" s="30">
        <f t="shared" ref="AH44:AH52" si="120">AG44/$AG$19</f>
        <v>2.2000000000000002E-2</v>
      </c>
      <c r="AI44" s="12">
        <f>AI19*2.2%</f>
        <v>16072.286472</v>
      </c>
      <c r="AJ44" s="30">
        <f t="shared" ref="AJ44:AJ52" si="121">AI44/$AI$19</f>
        <v>2.2000000000000002E-2</v>
      </c>
      <c r="AK44" s="12">
        <f>AK19*2.2%</f>
        <v>17171.622072000002</v>
      </c>
      <c r="AL44" s="30">
        <f t="shared" ref="AL44:AL52" si="122">AK44/$AK$19</f>
        <v>2.2000000000000002E-2</v>
      </c>
      <c r="AM44" s="31">
        <v>1.00113614478784</v>
      </c>
      <c r="AN44" s="12">
        <f>AN19*2.2%</f>
        <v>17171.622072000002</v>
      </c>
      <c r="AO44" s="30">
        <f t="shared" ref="AO44:AO52" si="123">AN44/$AN$19</f>
        <v>2.2000000000000002E-2</v>
      </c>
      <c r="AP44" s="12">
        <f>AP19*2.2%</f>
        <v>17171.622072000002</v>
      </c>
      <c r="AQ44" s="30">
        <f t="shared" ref="AQ44:AQ52" si="124">AP44/$AP$19</f>
        <v>2.2000000000000002E-2</v>
      </c>
      <c r="AR44" s="12">
        <f>AR19*2.2%</f>
        <v>17171.622072000002</v>
      </c>
      <c r="AS44" s="30">
        <f t="shared" ref="AS44:AS52" si="125">AR44/$AR$19</f>
        <v>2.2000000000000002E-2</v>
      </c>
      <c r="AT44" s="12">
        <f>AT19*2.2%</f>
        <v>18270.957672</v>
      </c>
      <c r="AU44" s="30">
        <f t="shared" ref="AU44:AU52" si="126">AT44/$AT$19</f>
        <v>2.2000000000000002E-2</v>
      </c>
      <c r="AV44" s="12">
        <f>AV19*2.2%</f>
        <v>18270.957672</v>
      </c>
      <c r="AW44" s="30">
        <f t="shared" ref="AW44:AW52" si="127">AV44/$AV$19</f>
        <v>2.2000000000000002E-2</v>
      </c>
      <c r="AX44" s="12">
        <f>AX19*2.2%</f>
        <v>18820.625472000003</v>
      </c>
      <c r="AY44" s="30">
        <f t="shared" ref="AY44:AY52" si="128">AX44/$AX$19</f>
        <v>2.2000000000000002E-2</v>
      </c>
      <c r="AZ44" s="12">
        <f>AZ19*2.2%</f>
        <v>18820.625472000003</v>
      </c>
      <c r="BA44" s="30">
        <f t="shared" ref="BA44:BA52" si="129">AZ44/$AZ$19</f>
        <v>2.2000000000000002E-2</v>
      </c>
      <c r="BB44" s="84">
        <f t="shared" si="2"/>
        <v>219868.38513614476</v>
      </c>
      <c r="BC44" s="30">
        <f t="shared" ref="BC44:BC52" si="130">BB44/$BB$19</f>
        <v>2.2000097972662606E-2</v>
      </c>
    </row>
    <row r="45" spans="1:55" s="13" customFormat="1" ht="11" hidden="1" outlineLevel="2" x14ac:dyDescent="0.15">
      <c r="A45" s="3" t="s">
        <v>132</v>
      </c>
      <c r="B45" s="3"/>
      <c r="C45" s="12">
        <f>C18*10%</f>
        <v>5000</v>
      </c>
      <c r="D45" s="30">
        <f t="shared" si="104"/>
        <v>5.9526824777166821E-3</v>
      </c>
      <c r="E45" s="12">
        <f>E18*10%</f>
        <v>7500</v>
      </c>
      <c r="F45" s="30">
        <f t="shared" si="105"/>
        <v>8.4834303545954746E-3</v>
      </c>
      <c r="G45" s="12">
        <f>G18*10%</f>
        <v>10000</v>
      </c>
      <c r="H45" s="30">
        <f t="shared" si="106"/>
        <v>1.1000176372317882E-2</v>
      </c>
      <c r="I45" s="12">
        <f>I18*10%</f>
        <v>10000</v>
      </c>
      <c r="J45" s="30">
        <f t="shared" si="107"/>
        <v>1.3600477297652774E-2</v>
      </c>
      <c r="K45" s="12">
        <f>K18*10%</f>
        <v>10000</v>
      </c>
      <c r="L45" s="30">
        <f t="shared" si="108"/>
        <v>1.2841580947058121E-2</v>
      </c>
      <c r="M45" s="12">
        <f>M18*10%</f>
        <v>10000</v>
      </c>
      <c r="N45" s="30">
        <f t="shared" si="109"/>
        <v>1.2841580947058121E-2</v>
      </c>
      <c r="O45" s="12">
        <f>O18*10%</f>
        <v>10000</v>
      </c>
      <c r="P45" s="30">
        <f t="shared" si="110"/>
        <v>1.2841580947058121E-2</v>
      </c>
      <c r="Q45" s="12">
        <f>Q18*10%</f>
        <v>10000</v>
      </c>
      <c r="R45" s="30">
        <f t="shared" si="111"/>
        <v>1.2841580947058121E-2</v>
      </c>
      <c r="S45" s="12">
        <f>S18*10%</f>
        <v>10000</v>
      </c>
      <c r="T45" s="30">
        <f t="shared" si="112"/>
        <v>1.216290030573519E-2</v>
      </c>
      <c r="U45" s="12">
        <f>U18*10%</f>
        <v>10000</v>
      </c>
      <c r="V45" s="30">
        <f t="shared" si="113"/>
        <v>1.216290030573519E-2</v>
      </c>
      <c r="W45" s="12">
        <f>W18*10%</f>
        <v>10000</v>
      </c>
      <c r="X45" s="30">
        <f t="shared" si="114"/>
        <v>1.1849768741856597E-2</v>
      </c>
      <c r="Y45" s="12">
        <f>Y18*10%</f>
        <v>10000</v>
      </c>
      <c r="Z45" s="30">
        <f t="shared" si="115"/>
        <v>1.1849768741856597E-2</v>
      </c>
      <c r="AA45" s="29">
        <f t="shared" ref="AA45" si="131">SUM(C45:Y45)</f>
        <v>112500.12657865963</v>
      </c>
      <c r="AB45" s="30">
        <f t="shared" ref="AB45" si="132">AA45/$AA$19</f>
        <v>1.146159094544757E-2</v>
      </c>
      <c r="AC45" s="12">
        <v>7000</v>
      </c>
      <c r="AD45" s="30">
        <f t="shared" si="118"/>
        <v>7.7054241531962324E-3</v>
      </c>
      <c r="AE45" s="12">
        <v>7000</v>
      </c>
      <c r="AF45" s="30">
        <f t="shared" si="119"/>
        <v>7.5233410904998648E-3</v>
      </c>
      <c r="AG45" s="12">
        <v>7000</v>
      </c>
      <c r="AH45" s="30">
        <f t="shared" si="120"/>
        <v>7.5233410904998648E-3</v>
      </c>
      <c r="AI45" s="12">
        <v>7000</v>
      </c>
      <c r="AJ45" s="30">
        <f t="shared" si="121"/>
        <v>9.5817107459033862E-3</v>
      </c>
      <c r="AK45" s="12">
        <v>7000</v>
      </c>
      <c r="AL45" s="30">
        <f t="shared" si="122"/>
        <v>8.968284961914692E-3</v>
      </c>
      <c r="AM45" s="31"/>
      <c r="AN45" s="12">
        <v>7000</v>
      </c>
      <c r="AO45" s="30">
        <f t="shared" si="123"/>
        <v>8.968284961914692E-3</v>
      </c>
      <c r="AP45" s="12">
        <v>7000</v>
      </c>
      <c r="AQ45" s="30">
        <f t="shared" si="124"/>
        <v>8.968284961914692E-3</v>
      </c>
      <c r="AR45" s="12">
        <v>7000</v>
      </c>
      <c r="AS45" s="30">
        <f t="shared" si="125"/>
        <v>8.968284961914692E-3</v>
      </c>
      <c r="AT45" s="12">
        <v>7000</v>
      </c>
      <c r="AU45" s="30">
        <f t="shared" si="126"/>
        <v>8.4286769617994885E-3</v>
      </c>
      <c r="AV45" s="12">
        <v>7000</v>
      </c>
      <c r="AW45" s="30">
        <f t="shared" si="127"/>
        <v>8.4286769617994885E-3</v>
      </c>
      <c r="AX45" s="12">
        <v>7000</v>
      </c>
      <c r="AY45" s="30">
        <f t="shared" si="128"/>
        <v>8.1825123309058109E-3</v>
      </c>
      <c r="AZ45" s="12">
        <v>7000</v>
      </c>
      <c r="BA45" s="30">
        <f t="shared" si="129"/>
        <v>8.1825123309058109E-3</v>
      </c>
      <c r="BB45" s="84">
        <f t="shared" ref="BB45" si="133">SUM(AC45:BA45)</f>
        <v>84000.101429335526</v>
      </c>
      <c r="BC45" s="30">
        <f t="shared" ref="BC45" si="134">BB45/$BB$19</f>
        <v>8.4050758821677379E-3</v>
      </c>
    </row>
    <row r="46" spans="1:55" s="13" customFormat="1" ht="11" hidden="1" outlineLevel="2" x14ac:dyDescent="0.15">
      <c r="A46" s="3" t="s">
        <v>9</v>
      </c>
      <c r="B46" s="3"/>
      <c r="C46" s="12">
        <v>1500</v>
      </c>
      <c r="D46" s="30">
        <f t="shared" si="104"/>
        <v>1.7858047433150046E-3</v>
      </c>
      <c r="E46" s="12">
        <v>1500</v>
      </c>
      <c r="F46" s="30">
        <f t="shared" si="105"/>
        <v>1.696686070919095E-3</v>
      </c>
      <c r="G46" s="12">
        <v>1500</v>
      </c>
      <c r="H46" s="30">
        <f t="shared" si="106"/>
        <v>1.6500264558476823E-3</v>
      </c>
      <c r="I46" s="12">
        <v>1500</v>
      </c>
      <c r="J46" s="30">
        <f t="shared" si="107"/>
        <v>2.040071594647916E-3</v>
      </c>
      <c r="K46" s="12">
        <v>1500</v>
      </c>
      <c r="L46" s="30">
        <f t="shared" si="108"/>
        <v>1.9262371420587182E-3</v>
      </c>
      <c r="M46" s="12">
        <v>1500</v>
      </c>
      <c r="N46" s="30">
        <f t="shared" si="109"/>
        <v>1.9262371420587182E-3</v>
      </c>
      <c r="O46" s="12">
        <v>1500</v>
      </c>
      <c r="P46" s="30">
        <f t="shared" si="110"/>
        <v>1.9262371420587182E-3</v>
      </c>
      <c r="Q46" s="12">
        <v>1500</v>
      </c>
      <c r="R46" s="30">
        <f t="shared" si="111"/>
        <v>1.9262371420587182E-3</v>
      </c>
      <c r="S46" s="12">
        <v>1500</v>
      </c>
      <c r="T46" s="30">
        <f t="shared" si="112"/>
        <v>1.8244350458602784E-3</v>
      </c>
      <c r="U46" s="12">
        <v>1500</v>
      </c>
      <c r="V46" s="30">
        <f t="shared" si="113"/>
        <v>1.8244350458602784E-3</v>
      </c>
      <c r="W46" s="12">
        <v>1500</v>
      </c>
      <c r="X46" s="30">
        <f t="shared" si="114"/>
        <v>1.7774653112784895E-3</v>
      </c>
      <c r="Y46" s="12">
        <v>1500</v>
      </c>
      <c r="Z46" s="30">
        <f t="shared" si="115"/>
        <v>1.7774653112784895E-3</v>
      </c>
      <c r="AA46" s="29">
        <f t="shared" si="116"/>
        <v>18000.020303872836</v>
      </c>
      <c r="AB46" s="30">
        <f t="shared" si="117"/>
        <v>1.8338545564967963E-3</v>
      </c>
      <c r="AC46" s="12">
        <v>800</v>
      </c>
      <c r="AD46" s="30">
        <f t="shared" si="118"/>
        <v>8.8061990322242656E-4</v>
      </c>
      <c r="AE46" s="12">
        <v>800</v>
      </c>
      <c r="AF46" s="30">
        <f t="shared" si="119"/>
        <v>8.5981041034284176E-4</v>
      </c>
      <c r="AG46" s="12">
        <v>800</v>
      </c>
      <c r="AH46" s="30">
        <f t="shared" si="120"/>
        <v>8.5981041034284176E-4</v>
      </c>
      <c r="AI46" s="12">
        <v>800</v>
      </c>
      <c r="AJ46" s="30">
        <f t="shared" si="121"/>
        <v>1.0950526566746728E-3</v>
      </c>
      <c r="AK46" s="12">
        <v>800</v>
      </c>
      <c r="AL46" s="30">
        <f t="shared" si="122"/>
        <v>1.0249468527902506E-3</v>
      </c>
      <c r="AM46" s="31">
        <v>1.1361447878354366E-3</v>
      </c>
      <c r="AN46" s="12">
        <v>800</v>
      </c>
      <c r="AO46" s="30">
        <f t="shared" si="123"/>
        <v>1.0249468527902506E-3</v>
      </c>
      <c r="AP46" s="12">
        <v>800</v>
      </c>
      <c r="AQ46" s="30">
        <f t="shared" si="124"/>
        <v>1.0249468527902506E-3</v>
      </c>
      <c r="AR46" s="12">
        <v>800</v>
      </c>
      <c r="AS46" s="30">
        <f t="shared" si="125"/>
        <v>1.0249468527902506E-3</v>
      </c>
      <c r="AT46" s="12">
        <v>800</v>
      </c>
      <c r="AU46" s="30">
        <f t="shared" si="126"/>
        <v>9.6327736706279868E-4</v>
      </c>
      <c r="AV46" s="12">
        <v>800</v>
      </c>
      <c r="AW46" s="30">
        <f t="shared" si="127"/>
        <v>9.6327736706279868E-4</v>
      </c>
      <c r="AX46" s="12">
        <v>800</v>
      </c>
      <c r="AY46" s="30">
        <f t="shared" si="128"/>
        <v>9.3514426638923549E-4</v>
      </c>
      <c r="AZ46" s="12">
        <v>800</v>
      </c>
      <c r="BA46" s="30">
        <f t="shared" si="129"/>
        <v>9.3514426638923549E-4</v>
      </c>
      <c r="BB46" s="84">
        <f t="shared" si="2"/>
        <v>9600.0127280688448</v>
      </c>
      <c r="BC46" s="30">
        <f t="shared" si="130"/>
        <v>9.6058021450216532E-4</v>
      </c>
    </row>
    <row r="47" spans="1:55" s="13" customFormat="1" ht="11" hidden="1" outlineLevel="2" x14ac:dyDescent="0.15">
      <c r="A47" s="3" t="s">
        <v>74</v>
      </c>
      <c r="B47" s="3"/>
      <c r="C47" s="12">
        <v>2000</v>
      </c>
      <c r="D47" s="30">
        <f t="shared" si="104"/>
        <v>2.3810729910866729E-3</v>
      </c>
      <c r="E47" s="12">
        <v>2000</v>
      </c>
      <c r="F47" s="30">
        <f t="shared" si="105"/>
        <v>2.2622480945587936E-3</v>
      </c>
      <c r="G47" s="12">
        <v>2000</v>
      </c>
      <c r="H47" s="30">
        <f t="shared" si="106"/>
        <v>2.2000352744635764E-3</v>
      </c>
      <c r="I47" s="12">
        <v>1500</v>
      </c>
      <c r="J47" s="30">
        <f t="shared" si="107"/>
        <v>2.040071594647916E-3</v>
      </c>
      <c r="K47" s="12">
        <v>1500</v>
      </c>
      <c r="L47" s="30">
        <f t="shared" si="108"/>
        <v>1.9262371420587182E-3</v>
      </c>
      <c r="M47" s="12">
        <v>1500</v>
      </c>
      <c r="N47" s="30">
        <f t="shared" si="109"/>
        <v>1.9262371420587182E-3</v>
      </c>
      <c r="O47" s="12">
        <v>1500</v>
      </c>
      <c r="P47" s="30">
        <f t="shared" si="110"/>
        <v>1.9262371420587182E-3</v>
      </c>
      <c r="Q47" s="12">
        <v>1500</v>
      </c>
      <c r="R47" s="30">
        <f t="shared" si="111"/>
        <v>1.9262371420587182E-3</v>
      </c>
      <c r="S47" s="12">
        <v>1500</v>
      </c>
      <c r="T47" s="30">
        <f t="shared" si="112"/>
        <v>1.8244350458602784E-3</v>
      </c>
      <c r="U47" s="12">
        <v>1000</v>
      </c>
      <c r="V47" s="30">
        <f t="shared" si="113"/>
        <v>1.2162900305735188E-3</v>
      </c>
      <c r="W47" s="12">
        <v>1000</v>
      </c>
      <c r="X47" s="30">
        <f t="shared" si="114"/>
        <v>1.1849768741856595E-3</v>
      </c>
      <c r="Y47" s="12">
        <v>1250</v>
      </c>
      <c r="Z47" s="30">
        <f t="shared" si="115"/>
        <v>1.4812210927320746E-3</v>
      </c>
      <c r="AA47" s="29">
        <f t="shared" si="116"/>
        <v>18250.020814078478</v>
      </c>
      <c r="AB47" s="30">
        <f t="shared" si="117"/>
        <v>1.8593247819202921E-3</v>
      </c>
      <c r="AC47" s="12">
        <v>1250</v>
      </c>
      <c r="AD47" s="30">
        <f t="shared" si="118"/>
        <v>1.3759685987850415E-3</v>
      </c>
      <c r="AE47" s="12">
        <v>1250</v>
      </c>
      <c r="AF47" s="30">
        <f t="shared" si="119"/>
        <v>1.3434537661606901E-3</v>
      </c>
      <c r="AG47" s="12">
        <v>1000</v>
      </c>
      <c r="AH47" s="30">
        <f t="shared" si="120"/>
        <v>1.0747630129285522E-3</v>
      </c>
      <c r="AI47" s="12">
        <f>+U$47</f>
        <v>1000</v>
      </c>
      <c r="AJ47" s="30">
        <f t="shared" si="121"/>
        <v>1.3688158208433408E-3</v>
      </c>
      <c r="AK47" s="12">
        <f>+W$47</f>
        <v>1000</v>
      </c>
      <c r="AL47" s="30">
        <f t="shared" si="122"/>
        <v>1.2811835659878132E-3</v>
      </c>
      <c r="AM47" s="31">
        <v>9.3031322377258325E-3</v>
      </c>
      <c r="AN47" s="12">
        <f>+Z$47</f>
        <v>1.4812210927320746E-3</v>
      </c>
      <c r="AO47" s="30">
        <f t="shared" si="123"/>
        <v>1.8977161216028449E-9</v>
      </c>
      <c r="AP47" s="12">
        <f>+AB$47</f>
        <v>1.8593247819202921E-3</v>
      </c>
      <c r="AQ47" s="30">
        <f t="shared" si="124"/>
        <v>2.382136354430153E-9</v>
      </c>
      <c r="AR47" s="12">
        <f>+AD$47</f>
        <v>1.3759685987850415E-3</v>
      </c>
      <c r="AS47" s="30">
        <f t="shared" si="125"/>
        <v>1.7628683560786741E-9</v>
      </c>
      <c r="AT47" s="12">
        <f>+AF$47</f>
        <v>1.3434537661606901E-3</v>
      </c>
      <c r="AU47" s="30">
        <f t="shared" si="126"/>
        <v>1.617648258297338E-9</v>
      </c>
      <c r="AV47" s="12">
        <f>+AH$47</f>
        <v>1.0747630129285522E-3</v>
      </c>
      <c r="AW47" s="30">
        <f t="shared" si="127"/>
        <v>1.2941186066378705E-9</v>
      </c>
      <c r="AX47" s="12">
        <f>+AJ$47</f>
        <v>1.3688158208433408E-3</v>
      </c>
      <c r="AY47" s="30">
        <f t="shared" si="128"/>
        <v>1.6000503332556564E-9</v>
      </c>
      <c r="AZ47" s="12">
        <f>+AL$47</f>
        <v>1.2811835659878132E-3</v>
      </c>
      <c r="BA47" s="30">
        <f t="shared" si="129"/>
        <v>1.4976143324070228E-9</v>
      </c>
      <c r="BB47" s="84">
        <f t="shared" si="2"/>
        <v>5500.0255320596953</v>
      </c>
      <c r="BC47" s="30">
        <f t="shared" si="130"/>
        <v>5.5033423965220811E-4</v>
      </c>
    </row>
    <row r="48" spans="1:55" s="13" customFormat="1" ht="11" hidden="1" outlineLevel="2" x14ac:dyDescent="0.15">
      <c r="A48" s="3" t="s">
        <v>20</v>
      </c>
      <c r="B48" s="3"/>
      <c r="C48" s="12">
        <v>400</v>
      </c>
      <c r="D48" s="30">
        <f t="shared" si="104"/>
        <v>4.7621459821733459E-4</v>
      </c>
      <c r="E48" s="12">
        <v>400</v>
      </c>
      <c r="F48" s="30">
        <f t="shared" si="105"/>
        <v>4.5244961891175871E-4</v>
      </c>
      <c r="G48" s="12">
        <v>400</v>
      </c>
      <c r="H48" s="30">
        <f t="shared" si="106"/>
        <v>4.4000705489271528E-4</v>
      </c>
      <c r="I48" s="12">
        <v>400</v>
      </c>
      <c r="J48" s="30">
        <f t="shared" si="107"/>
        <v>5.4401909190611095E-4</v>
      </c>
      <c r="K48" s="12">
        <v>400</v>
      </c>
      <c r="L48" s="30">
        <f t="shared" si="108"/>
        <v>5.1366323788232487E-4</v>
      </c>
      <c r="M48" s="12">
        <v>400</v>
      </c>
      <c r="N48" s="30">
        <f t="shared" si="109"/>
        <v>5.1366323788232487E-4</v>
      </c>
      <c r="O48" s="12">
        <v>400</v>
      </c>
      <c r="P48" s="30">
        <f t="shared" si="110"/>
        <v>5.1366323788232487E-4</v>
      </c>
      <c r="Q48" s="12">
        <v>400</v>
      </c>
      <c r="R48" s="30">
        <f t="shared" si="111"/>
        <v>5.1366323788232487E-4</v>
      </c>
      <c r="S48" s="12">
        <v>400</v>
      </c>
      <c r="T48" s="30">
        <f t="shared" si="112"/>
        <v>4.8651601222940758E-4</v>
      </c>
      <c r="U48" s="12">
        <v>400</v>
      </c>
      <c r="V48" s="30">
        <f t="shared" si="113"/>
        <v>4.8651601222940758E-4</v>
      </c>
      <c r="W48" s="12">
        <v>400</v>
      </c>
      <c r="X48" s="30">
        <f t="shared" si="114"/>
        <v>4.7399074967426384E-4</v>
      </c>
      <c r="Y48" s="12">
        <v>400</v>
      </c>
      <c r="Z48" s="30">
        <f t="shared" si="115"/>
        <v>4.7399074967426384E-4</v>
      </c>
      <c r="AA48" s="29">
        <f t="shared" si="116"/>
        <v>4800.00541436609</v>
      </c>
      <c r="AB48" s="30">
        <f t="shared" si="117"/>
        <v>4.8902788173247908E-4</v>
      </c>
      <c r="AC48" s="12">
        <v>400</v>
      </c>
      <c r="AD48" s="30">
        <f t="shared" si="118"/>
        <v>4.4030995161121328E-4</v>
      </c>
      <c r="AE48" s="12">
        <v>400</v>
      </c>
      <c r="AF48" s="30">
        <f t="shared" si="119"/>
        <v>4.2990520517142088E-4</v>
      </c>
      <c r="AG48" s="12">
        <v>400</v>
      </c>
      <c r="AH48" s="30">
        <f t="shared" si="120"/>
        <v>4.2990520517142088E-4</v>
      </c>
      <c r="AI48" s="12">
        <v>400</v>
      </c>
      <c r="AJ48" s="30">
        <f t="shared" si="121"/>
        <v>5.4752632833733638E-4</v>
      </c>
      <c r="AK48" s="12">
        <v>400</v>
      </c>
      <c r="AL48" s="30">
        <f t="shared" si="122"/>
        <v>5.1247342639512531E-4</v>
      </c>
      <c r="AM48" s="31">
        <v>1.8935746463923941E-3</v>
      </c>
      <c r="AN48" s="12">
        <v>400</v>
      </c>
      <c r="AO48" s="30">
        <f t="shared" si="123"/>
        <v>5.1247342639512531E-4</v>
      </c>
      <c r="AP48" s="12">
        <v>400</v>
      </c>
      <c r="AQ48" s="30">
        <f t="shared" si="124"/>
        <v>5.1247342639512531E-4</v>
      </c>
      <c r="AR48" s="12">
        <v>400</v>
      </c>
      <c r="AS48" s="30">
        <f t="shared" si="125"/>
        <v>5.1247342639512531E-4</v>
      </c>
      <c r="AT48" s="12">
        <v>400</v>
      </c>
      <c r="AU48" s="30">
        <f t="shared" si="126"/>
        <v>4.8163868353139934E-4</v>
      </c>
      <c r="AV48" s="12">
        <v>400</v>
      </c>
      <c r="AW48" s="30">
        <f t="shared" si="127"/>
        <v>4.8163868353139934E-4</v>
      </c>
      <c r="AX48" s="12">
        <v>400</v>
      </c>
      <c r="AY48" s="30">
        <f t="shared" si="128"/>
        <v>4.6757213319461774E-4</v>
      </c>
      <c r="AZ48" s="12">
        <v>400</v>
      </c>
      <c r="BA48" s="30">
        <f t="shared" si="129"/>
        <v>4.6757213319461774E-4</v>
      </c>
      <c r="BB48" s="84">
        <f t="shared" si="2"/>
        <v>4800.0076895366747</v>
      </c>
      <c r="BC48" s="30">
        <f t="shared" si="130"/>
        <v>4.8029023988124407E-4</v>
      </c>
    </row>
    <row r="49" spans="1:55" s="13" customFormat="1" ht="11" hidden="1" outlineLevel="2" x14ac:dyDescent="0.15">
      <c r="A49" s="3" t="s">
        <v>23</v>
      </c>
      <c r="B49" s="3"/>
      <c r="C49" s="12">
        <v>1250</v>
      </c>
      <c r="D49" s="30">
        <f t="shared" si="104"/>
        <v>1.4881706194291705E-3</v>
      </c>
      <c r="E49" s="12">
        <v>1250</v>
      </c>
      <c r="F49" s="30">
        <f t="shared" si="105"/>
        <v>1.4139050590992459E-3</v>
      </c>
      <c r="G49" s="12">
        <v>1250</v>
      </c>
      <c r="H49" s="30">
        <f t="shared" si="106"/>
        <v>1.3750220465397352E-3</v>
      </c>
      <c r="I49" s="12">
        <v>1000</v>
      </c>
      <c r="J49" s="30">
        <f t="shared" si="107"/>
        <v>1.3600477297652774E-3</v>
      </c>
      <c r="K49" s="12">
        <v>1000</v>
      </c>
      <c r="L49" s="30">
        <f t="shared" si="108"/>
        <v>1.2841580947058121E-3</v>
      </c>
      <c r="M49" s="12">
        <v>1000</v>
      </c>
      <c r="N49" s="30">
        <f t="shared" si="109"/>
        <v>1.2841580947058121E-3</v>
      </c>
      <c r="O49" s="12">
        <v>1000</v>
      </c>
      <c r="P49" s="30">
        <f t="shared" si="110"/>
        <v>1.2841580947058121E-3</v>
      </c>
      <c r="Q49" s="12">
        <v>1000</v>
      </c>
      <c r="R49" s="30">
        <f t="shared" si="111"/>
        <v>1.2841580947058121E-3</v>
      </c>
      <c r="S49" s="12">
        <v>1000</v>
      </c>
      <c r="T49" s="30">
        <f t="shared" si="112"/>
        <v>1.2162900305735188E-3</v>
      </c>
      <c r="U49" s="12">
        <v>1000</v>
      </c>
      <c r="V49" s="30">
        <f t="shared" si="113"/>
        <v>1.2162900305735188E-3</v>
      </c>
      <c r="W49" s="12">
        <v>1000</v>
      </c>
      <c r="X49" s="30">
        <f t="shared" si="114"/>
        <v>1.1849768741856595E-3</v>
      </c>
      <c r="Y49" s="12">
        <v>1000</v>
      </c>
      <c r="Z49" s="30">
        <f t="shared" si="115"/>
        <v>1.1849768741856595E-3</v>
      </c>
      <c r="AA49" s="29">
        <f t="shared" si="116"/>
        <v>12750.014391334771</v>
      </c>
      <c r="AB49" s="30">
        <f t="shared" si="117"/>
        <v>1.2989803118121073E-3</v>
      </c>
      <c r="AC49" s="12">
        <v>1000</v>
      </c>
      <c r="AD49" s="30">
        <f t="shared" si="118"/>
        <v>1.1007748790280332E-3</v>
      </c>
      <c r="AE49" s="12">
        <v>1000</v>
      </c>
      <c r="AF49" s="30">
        <f t="shared" si="119"/>
        <v>1.0747630129285522E-3</v>
      </c>
      <c r="AG49" s="12">
        <v>1000</v>
      </c>
      <c r="AH49" s="30">
        <f t="shared" si="120"/>
        <v>1.0747630129285522E-3</v>
      </c>
      <c r="AI49" s="12">
        <v>1000</v>
      </c>
      <c r="AJ49" s="30">
        <f t="shared" si="121"/>
        <v>1.3688158208433408E-3</v>
      </c>
      <c r="AK49" s="12">
        <v>1000</v>
      </c>
      <c r="AL49" s="30">
        <f t="shared" si="122"/>
        <v>1.2811835659878132E-3</v>
      </c>
      <c r="AM49" s="31">
        <v>1.0113614478783499</v>
      </c>
      <c r="AN49" s="12">
        <v>1000</v>
      </c>
      <c r="AO49" s="30">
        <f t="shared" si="123"/>
        <v>1.2811835659878132E-3</v>
      </c>
      <c r="AP49" s="12">
        <v>1000</v>
      </c>
      <c r="AQ49" s="30">
        <f t="shared" si="124"/>
        <v>1.2811835659878132E-3</v>
      </c>
      <c r="AR49" s="12">
        <v>1000</v>
      </c>
      <c r="AS49" s="30">
        <f t="shared" si="125"/>
        <v>1.2811835659878132E-3</v>
      </c>
      <c r="AT49" s="12">
        <v>1000</v>
      </c>
      <c r="AU49" s="30">
        <f t="shared" si="126"/>
        <v>1.2040967088284985E-3</v>
      </c>
      <c r="AV49" s="12">
        <v>1000</v>
      </c>
      <c r="AW49" s="30">
        <f t="shared" si="127"/>
        <v>1.2040967088284985E-3</v>
      </c>
      <c r="AX49" s="12">
        <v>1000</v>
      </c>
      <c r="AY49" s="30">
        <f t="shared" si="128"/>
        <v>1.1689303329865445E-3</v>
      </c>
      <c r="AZ49" s="12">
        <v>1000</v>
      </c>
      <c r="BA49" s="30">
        <f t="shared" si="129"/>
        <v>1.1689303329865445E-3</v>
      </c>
      <c r="BB49" s="84">
        <f t="shared" si="2"/>
        <v>12001.025851352952</v>
      </c>
      <c r="BC49" s="30">
        <f t="shared" si="130"/>
        <v>1.2008263231602643E-3</v>
      </c>
    </row>
    <row r="50" spans="1:55" s="13" customFormat="1" ht="11" hidden="1" outlineLevel="2" x14ac:dyDescent="0.15">
      <c r="A50" s="3" t="s">
        <v>75</v>
      </c>
      <c r="B50" s="3"/>
      <c r="C50" s="12">
        <v>2000</v>
      </c>
      <c r="D50" s="30">
        <f t="shared" si="104"/>
        <v>2.3810729910866729E-3</v>
      </c>
      <c r="E50" s="12">
        <v>2000</v>
      </c>
      <c r="F50" s="30">
        <f t="shared" si="105"/>
        <v>2.2622480945587936E-3</v>
      </c>
      <c r="G50" s="12">
        <v>2000</v>
      </c>
      <c r="H50" s="30">
        <f t="shared" si="106"/>
        <v>2.2000352744635764E-3</v>
      </c>
      <c r="I50" s="12">
        <v>2000</v>
      </c>
      <c r="J50" s="30">
        <f t="shared" si="107"/>
        <v>2.7200954595305547E-3</v>
      </c>
      <c r="K50" s="12">
        <v>2000</v>
      </c>
      <c r="L50" s="30">
        <f t="shared" si="108"/>
        <v>2.5683161894116241E-3</v>
      </c>
      <c r="M50" s="12">
        <v>2000</v>
      </c>
      <c r="N50" s="30">
        <f t="shared" si="109"/>
        <v>2.5683161894116241E-3</v>
      </c>
      <c r="O50" s="12">
        <v>2000</v>
      </c>
      <c r="P50" s="30">
        <f t="shared" si="110"/>
        <v>2.5683161894116241E-3</v>
      </c>
      <c r="Q50" s="12">
        <v>2000</v>
      </c>
      <c r="R50" s="30">
        <f t="shared" si="111"/>
        <v>2.5683161894116241E-3</v>
      </c>
      <c r="S50" s="12">
        <v>2000</v>
      </c>
      <c r="T50" s="30">
        <f t="shared" si="112"/>
        <v>2.4325800611470377E-3</v>
      </c>
      <c r="U50" s="12">
        <v>2000</v>
      </c>
      <c r="V50" s="30">
        <f t="shared" si="113"/>
        <v>2.4325800611470377E-3</v>
      </c>
      <c r="W50" s="12">
        <v>2000</v>
      </c>
      <c r="X50" s="30">
        <f t="shared" si="114"/>
        <v>2.3699537483713191E-3</v>
      </c>
      <c r="Y50" s="12">
        <v>2000</v>
      </c>
      <c r="Z50" s="30">
        <f t="shared" si="115"/>
        <v>2.3699537483713191E-3</v>
      </c>
      <c r="AA50" s="29">
        <f t="shared" si="116"/>
        <v>24000.027071830449</v>
      </c>
      <c r="AB50" s="30">
        <f t="shared" si="117"/>
        <v>2.4451394086623954E-3</v>
      </c>
      <c r="AC50" s="12">
        <v>100</v>
      </c>
      <c r="AD50" s="30">
        <f t="shared" si="118"/>
        <v>1.1007748790280332E-4</v>
      </c>
      <c r="AE50" s="12">
        <v>100</v>
      </c>
      <c r="AF50" s="30">
        <f t="shared" si="119"/>
        <v>1.0747630129285522E-4</v>
      </c>
      <c r="AG50" s="12">
        <v>100</v>
      </c>
      <c r="AH50" s="30">
        <f t="shared" si="120"/>
        <v>1.0747630129285522E-4</v>
      </c>
      <c r="AI50" s="12">
        <v>100</v>
      </c>
      <c r="AJ50" s="30">
        <f t="shared" si="121"/>
        <v>1.3688158208433409E-4</v>
      </c>
      <c r="AK50" s="12">
        <v>100</v>
      </c>
      <c r="AL50" s="30">
        <f t="shared" si="122"/>
        <v>1.2811835659878133E-4</v>
      </c>
      <c r="AM50" s="31"/>
      <c r="AN50" s="12">
        <v>100</v>
      </c>
      <c r="AO50" s="30">
        <f t="shared" si="123"/>
        <v>1.2811835659878133E-4</v>
      </c>
      <c r="AP50" s="12">
        <v>100</v>
      </c>
      <c r="AQ50" s="30">
        <f t="shared" si="124"/>
        <v>1.2811835659878133E-4</v>
      </c>
      <c r="AR50" s="12">
        <v>100</v>
      </c>
      <c r="AS50" s="30">
        <f t="shared" si="125"/>
        <v>1.2811835659878133E-4</v>
      </c>
      <c r="AT50" s="12">
        <v>100</v>
      </c>
      <c r="AU50" s="30">
        <f t="shared" si="126"/>
        <v>1.2040967088284984E-4</v>
      </c>
      <c r="AV50" s="12">
        <v>100</v>
      </c>
      <c r="AW50" s="30">
        <f t="shared" si="127"/>
        <v>1.2040967088284984E-4</v>
      </c>
      <c r="AX50" s="12">
        <v>100</v>
      </c>
      <c r="AY50" s="30">
        <f t="shared" si="128"/>
        <v>1.1689303329865444E-4</v>
      </c>
      <c r="AZ50" s="12">
        <v>100</v>
      </c>
      <c r="BA50" s="30">
        <f t="shared" si="129"/>
        <v>1.1689303329865444E-4</v>
      </c>
      <c r="BB50" s="84">
        <f t="shared" si="2"/>
        <v>1200.001448990507</v>
      </c>
      <c r="BC50" s="30">
        <f t="shared" si="130"/>
        <v>1.2007251260239621E-4</v>
      </c>
    </row>
    <row r="51" spans="1:55" s="13" customFormat="1" ht="11" hidden="1" outlineLevel="2" x14ac:dyDescent="0.15">
      <c r="A51" s="3" t="s">
        <v>79</v>
      </c>
      <c r="B51" s="3"/>
      <c r="C51" s="12">
        <v>1000</v>
      </c>
      <c r="D51" s="30">
        <f t="shared" si="104"/>
        <v>1.1905364955433365E-3</v>
      </c>
      <c r="E51" s="12">
        <v>1000</v>
      </c>
      <c r="F51" s="30">
        <f t="shared" si="105"/>
        <v>1.1311240472793968E-3</v>
      </c>
      <c r="G51" s="12">
        <v>1000</v>
      </c>
      <c r="H51" s="30">
        <f t="shared" si="106"/>
        <v>1.1000176372317882E-3</v>
      </c>
      <c r="I51" s="12">
        <v>1000</v>
      </c>
      <c r="J51" s="30">
        <f t="shared" si="107"/>
        <v>1.3600477297652774E-3</v>
      </c>
      <c r="K51" s="12">
        <v>1000</v>
      </c>
      <c r="L51" s="30">
        <f t="shared" si="108"/>
        <v>1.2841580947058121E-3</v>
      </c>
      <c r="M51" s="12">
        <v>1000</v>
      </c>
      <c r="N51" s="30">
        <f t="shared" si="109"/>
        <v>1.2841580947058121E-3</v>
      </c>
      <c r="O51" s="12">
        <v>1000</v>
      </c>
      <c r="P51" s="30">
        <f t="shared" si="110"/>
        <v>1.2841580947058121E-3</v>
      </c>
      <c r="Q51" s="12">
        <v>1000</v>
      </c>
      <c r="R51" s="30">
        <f t="shared" si="111"/>
        <v>1.2841580947058121E-3</v>
      </c>
      <c r="S51" s="12">
        <v>1000</v>
      </c>
      <c r="T51" s="30">
        <f t="shared" si="112"/>
        <v>1.2162900305735188E-3</v>
      </c>
      <c r="U51" s="12">
        <v>1000</v>
      </c>
      <c r="V51" s="30">
        <f t="shared" si="113"/>
        <v>1.2162900305735188E-3</v>
      </c>
      <c r="W51" s="12">
        <v>1000</v>
      </c>
      <c r="X51" s="30">
        <f t="shared" si="114"/>
        <v>1.1849768741856595E-3</v>
      </c>
      <c r="Y51" s="12">
        <v>1000</v>
      </c>
      <c r="Z51" s="30">
        <f t="shared" si="115"/>
        <v>1.1849768741856595E-3</v>
      </c>
      <c r="AA51" s="29">
        <f t="shared" si="116"/>
        <v>12000.013535915225</v>
      </c>
      <c r="AB51" s="30">
        <f t="shared" si="117"/>
        <v>1.2225697043311977E-3</v>
      </c>
      <c r="AC51" s="12">
        <v>1000</v>
      </c>
      <c r="AD51" s="30">
        <f t="shared" si="118"/>
        <v>1.1007748790280332E-3</v>
      </c>
      <c r="AE51" s="12">
        <v>1000</v>
      </c>
      <c r="AF51" s="30">
        <f t="shared" si="119"/>
        <v>1.0747630129285522E-3</v>
      </c>
      <c r="AG51" s="12">
        <v>1000</v>
      </c>
      <c r="AH51" s="30">
        <f t="shared" si="120"/>
        <v>1.0747630129285522E-3</v>
      </c>
      <c r="AI51" s="12">
        <v>1000</v>
      </c>
      <c r="AJ51" s="30">
        <f t="shared" si="121"/>
        <v>1.3688158208433408E-3</v>
      </c>
      <c r="AK51" s="12">
        <v>1000</v>
      </c>
      <c r="AL51" s="30">
        <f t="shared" si="122"/>
        <v>1.2811835659878132E-3</v>
      </c>
      <c r="AM51" s="31"/>
      <c r="AN51" s="12">
        <v>1000</v>
      </c>
      <c r="AO51" s="30">
        <f t="shared" si="123"/>
        <v>1.2811835659878132E-3</v>
      </c>
      <c r="AP51" s="12">
        <v>1000</v>
      </c>
      <c r="AQ51" s="30">
        <f t="shared" si="124"/>
        <v>1.2811835659878132E-3</v>
      </c>
      <c r="AR51" s="12">
        <v>1000</v>
      </c>
      <c r="AS51" s="30">
        <f t="shared" si="125"/>
        <v>1.2811835659878132E-3</v>
      </c>
      <c r="AT51" s="12">
        <v>1000</v>
      </c>
      <c r="AU51" s="30">
        <f t="shared" si="126"/>
        <v>1.2040967088284985E-3</v>
      </c>
      <c r="AV51" s="12">
        <v>1000</v>
      </c>
      <c r="AW51" s="30">
        <f t="shared" si="127"/>
        <v>1.2040967088284985E-3</v>
      </c>
      <c r="AX51" s="12">
        <v>1000</v>
      </c>
      <c r="AY51" s="30">
        <f t="shared" si="128"/>
        <v>1.1689303329865445E-3</v>
      </c>
      <c r="AZ51" s="12">
        <v>1000</v>
      </c>
      <c r="BA51" s="30">
        <f t="shared" si="129"/>
        <v>1.1689303329865445E-3</v>
      </c>
      <c r="BB51" s="84">
        <f t="shared" si="2"/>
        <v>12000.014489905074</v>
      </c>
      <c r="BC51" s="30">
        <f t="shared" si="130"/>
        <v>1.2007251260239625E-3</v>
      </c>
    </row>
    <row r="52" spans="1:55" s="13" customFormat="1" ht="3" customHeight="1" outlineLevel="2" x14ac:dyDescent="0.15">
      <c r="A52" s="3" t="s">
        <v>80</v>
      </c>
      <c r="B52" s="3"/>
      <c r="C52" s="12">
        <v>2000</v>
      </c>
      <c r="D52" s="30">
        <f t="shared" si="104"/>
        <v>2.3810729910866729E-3</v>
      </c>
      <c r="E52" s="12">
        <v>2000</v>
      </c>
      <c r="F52" s="30">
        <f t="shared" si="105"/>
        <v>2.2622480945587936E-3</v>
      </c>
      <c r="G52" s="12">
        <v>2000</v>
      </c>
      <c r="H52" s="30">
        <f t="shared" si="106"/>
        <v>2.2000352744635764E-3</v>
      </c>
      <c r="I52" s="12">
        <v>2000</v>
      </c>
      <c r="J52" s="30">
        <f t="shared" si="107"/>
        <v>2.7200954595305547E-3</v>
      </c>
      <c r="K52" s="12">
        <v>2000</v>
      </c>
      <c r="L52" s="30">
        <f t="shared" si="108"/>
        <v>2.5683161894116241E-3</v>
      </c>
      <c r="M52" s="12">
        <v>2000</v>
      </c>
      <c r="N52" s="30">
        <f t="shared" si="109"/>
        <v>2.5683161894116241E-3</v>
      </c>
      <c r="O52" s="12">
        <v>2000</v>
      </c>
      <c r="P52" s="30">
        <f t="shared" si="110"/>
        <v>2.5683161894116241E-3</v>
      </c>
      <c r="Q52" s="12">
        <v>2000</v>
      </c>
      <c r="R52" s="30">
        <f t="shared" si="111"/>
        <v>2.5683161894116241E-3</v>
      </c>
      <c r="S52" s="12">
        <v>2000</v>
      </c>
      <c r="T52" s="30">
        <f t="shared" si="112"/>
        <v>2.4325800611470377E-3</v>
      </c>
      <c r="U52" s="12">
        <v>2000</v>
      </c>
      <c r="V52" s="30">
        <f t="shared" si="113"/>
        <v>2.4325800611470377E-3</v>
      </c>
      <c r="W52" s="12">
        <v>2000</v>
      </c>
      <c r="X52" s="30">
        <f t="shared" si="114"/>
        <v>2.3699537483713191E-3</v>
      </c>
      <c r="Y52" s="12">
        <v>2000</v>
      </c>
      <c r="Z52" s="30">
        <f t="shared" si="115"/>
        <v>2.3699537483713191E-3</v>
      </c>
      <c r="AA52" s="29">
        <f t="shared" si="116"/>
        <v>24000.027071830449</v>
      </c>
      <c r="AB52" s="30">
        <f t="shared" si="117"/>
        <v>2.4451394086623954E-3</v>
      </c>
      <c r="AC52" s="12">
        <v>2000</v>
      </c>
      <c r="AD52" s="30">
        <f t="shared" si="118"/>
        <v>2.2015497580560664E-3</v>
      </c>
      <c r="AE52" s="12">
        <v>2000</v>
      </c>
      <c r="AF52" s="30">
        <f t="shared" si="119"/>
        <v>2.1495260258571043E-3</v>
      </c>
      <c r="AG52" s="12">
        <v>2000</v>
      </c>
      <c r="AH52" s="30">
        <f t="shared" si="120"/>
        <v>2.1495260258571043E-3</v>
      </c>
      <c r="AI52" s="12">
        <v>2000</v>
      </c>
      <c r="AJ52" s="30">
        <f t="shared" si="121"/>
        <v>2.7376316416866816E-3</v>
      </c>
      <c r="AK52" s="12">
        <v>2000</v>
      </c>
      <c r="AL52" s="30">
        <f t="shared" si="122"/>
        <v>2.5623671319756265E-3</v>
      </c>
      <c r="AM52" s="31"/>
      <c r="AN52" s="12">
        <v>2000</v>
      </c>
      <c r="AO52" s="30">
        <f t="shared" si="123"/>
        <v>2.5623671319756265E-3</v>
      </c>
      <c r="AP52" s="12">
        <v>2000</v>
      </c>
      <c r="AQ52" s="30">
        <f t="shared" si="124"/>
        <v>2.5623671319756265E-3</v>
      </c>
      <c r="AR52" s="12">
        <v>2000</v>
      </c>
      <c r="AS52" s="30">
        <f t="shared" si="125"/>
        <v>2.5623671319756265E-3</v>
      </c>
      <c r="AT52" s="12">
        <v>2000</v>
      </c>
      <c r="AU52" s="30">
        <f t="shared" si="126"/>
        <v>2.408193417656997E-3</v>
      </c>
      <c r="AV52" s="12">
        <v>2000</v>
      </c>
      <c r="AW52" s="30">
        <f t="shared" si="127"/>
        <v>2.408193417656997E-3</v>
      </c>
      <c r="AX52" s="12">
        <v>2000</v>
      </c>
      <c r="AY52" s="30">
        <f t="shared" si="128"/>
        <v>2.3378606659730889E-3</v>
      </c>
      <c r="AZ52" s="12">
        <v>2000</v>
      </c>
      <c r="BA52" s="30">
        <f t="shared" si="129"/>
        <v>2.3378606659730889E-3</v>
      </c>
      <c r="BB52" s="84">
        <f t="shared" si="2"/>
        <v>24000.028979810148</v>
      </c>
      <c r="BC52" s="30">
        <f t="shared" si="130"/>
        <v>2.4014502520479249E-3</v>
      </c>
    </row>
    <row r="53" spans="1:55" s="13" customFormat="1" ht="13" customHeight="1" outlineLevel="2" x14ac:dyDescent="0.15">
      <c r="A53" s="3" t="s">
        <v>78</v>
      </c>
      <c r="B53" s="3"/>
      <c r="C53" s="12">
        <v>1500</v>
      </c>
      <c r="D53" s="30">
        <f>C53/C$19</f>
        <v>1.7858047433150046E-3</v>
      </c>
      <c r="E53" s="12">
        <v>1500</v>
      </c>
      <c r="F53" s="30">
        <f>E53/E$19</f>
        <v>1.696686070919095E-3</v>
      </c>
      <c r="G53" s="12">
        <v>1500</v>
      </c>
      <c r="H53" s="30">
        <f>G53/G$19</f>
        <v>1.6500264558476823E-3</v>
      </c>
      <c r="I53" s="12">
        <v>1500</v>
      </c>
      <c r="J53" s="30">
        <f>I53/I$19</f>
        <v>2.040071594647916E-3</v>
      </c>
      <c r="K53" s="12">
        <v>1500</v>
      </c>
      <c r="L53" s="30">
        <f>K53/K$19</f>
        <v>1.9262371420587182E-3</v>
      </c>
      <c r="M53" s="12">
        <v>1500</v>
      </c>
      <c r="N53" s="30">
        <f>M53/M$19</f>
        <v>1.9262371420587182E-3</v>
      </c>
      <c r="O53" s="12">
        <v>1500</v>
      </c>
      <c r="P53" s="30">
        <f>O53/O$19</f>
        <v>1.9262371420587182E-3</v>
      </c>
      <c r="Q53" s="12">
        <v>1500</v>
      </c>
      <c r="R53" s="30">
        <f>Q53/Q$19</f>
        <v>1.9262371420587182E-3</v>
      </c>
      <c r="S53" s="12">
        <v>1500</v>
      </c>
      <c r="T53" s="30">
        <f>S53/S$19</f>
        <v>1.8244350458602784E-3</v>
      </c>
      <c r="U53" s="12">
        <v>1500</v>
      </c>
      <c r="V53" s="30">
        <f>U53/U$19</f>
        <v>1.8244350458602784E-3</v>
      </c>
      <c r="W53" s="12">
        <v>1500</v>
      </c>
      <c r="X53" s="30">
        <f>W53/W$19</f>
        <v>1.7774653112784895E-3</v>
      </c>
      <c r="Y53" s="12">
        <v>1500</v>
      </c>
      <c r="Z53" s="30">
        <f>Y53/Y$19</f>
        <v>1.7774653112784895E-3</v>
      </c>
      <c r="AA53" s="29">
        <f t="shared" si="116"/>
        <v>18000.020303872836</v>
      </c>
      <c r="AB53" s="30">
        <f t="shared" si="117"/>
        <v>1.8338545564967963E-3</v>
      </c>
      <c r="AC53" s="12">
        <v>250</v>
      </c>
      <c r="AD53" s="30">
        <f>AC53/AC$19</f>
        <v>2.751937197570083E-4</v>
      </c>
      <c r="AE53" s="12">
        <v>250</v>
      </c>
      <c r="AF53" s="30">
        <f>AE53/AE$19</f>
        <v>2.6869075323213804E-4</v>
      </c>
      <c r="AG53" s="12">
        <v>250</v>
      </c>
      <c r="AH53" s="30">
        <f>AG53/AG$19</f>
        <v>2.6869075323213804E-4</v>
      </c>
      <c r="AI53" s="12">
        <v>250</v>
      </c>
      <c r="AJ53" s="30">
        <f>AI53/AI$19</f>
        <v>3.422039552108352E-4</v>
      </c>
      <c r="AK53" s="12">
        <v>250</v>
      </c>
      <c r="AL53" s="30">
        <f>AK53/AK$19</f>
        <v>3.2029589149695331E-4</v>
      </c>
      <c r="AM53" s="31"/>
      <c r="AN53" s="12">
        <v>250</v>
      </c>
      <c r="AO53" s="30">
        <f>AN53/AN$19</f>
        <v>3.2029589149695331E-4</v>
      </c>
      <c r="AP53" s="12">
        <v>250</v>
      </c>
      <c r="AQ53" s="30">
        <f>AP53/AP$19</f>
        <v>3.2029589149695331E-4</v>
      </c>
      <c r="AR53" s="12">
        <v>250</v>
      </c>
      <c r="AS53" s="30">
        <f>AR53/AR$19</f>
        <v>3.2029589149695331E-4</v>
      </c>
      <c r="AT53" s="12">
        <v>250</v>
      </c>
      <c r="AU53" s="30">
        <f>AT53/AT$19</f>
        <v>3.0102417720712462E-4</v>
      </c>
      <c r="AV53" s="12">
        <v>250</v>
      </c>
      <c r="AW53" s="30">
        <f>AV53/AV$19</f>
        <v>3.0102417720712462E-4</v>
      </c>
      <c r="AX53" s="12">
        <v>250</v>
      </c>
      <c r="AY53" s="30">
        <f>AX53/AX$19</f>
        <v>2.9223258324663612E-4</v>
      </c>
      <c r="AZ53" s="12">
        <v>250</v>
      </c>
      <c r="BA53" s="30">
        <f>AZ53/AZ$19</f>
        <v>2.9223258324663612E-4</v>
      </c>
      <c r="BB53" s="84">
        <f t="shared" si="2"/>
        <v>3000.0036224762684</v>
      </c>
      <c r="BC53" s="30">
        <f>BB53/BB$19</f>
        <v>3.0018128150599061E-4</v>
      </c>
    </row>
    <row r="54" spans="1:55" s="13" customFormat="1" ht="11" x14ac:dyDescent="0.15">
      <c r="A54" s="3" t="s">
        <v>156</v>
      </c>
      <c r="B54" s="3"/>
      <c r="C54" s="75">
        <f>SUM(C44:C53)</f>
        <v>35129.063919799999</v>
      </c>
      <c r="D54" s="30">
        <f>C54/C$19</f>
        <v>4.1822432650796555E-2</v>
      </c>
      <c r="E54" s="75">
        <f>SUM(E44:E53)</f>
        <v>38599.6793282</v>
      </c>
      <c r="F54" s="30">
        <f>E54/E$19</f>
        <v>4.366102550540045E-2</v>
      </c>
      <c r="G54" s="75">
        <f>SUM(G44:G53)</f>
        <v>41649.6793282</v>
      </c>
      <c r="H54" s="30">
        <f>G54/G$19</f>
        <v>4.5815381846068218E-2</v>
      </c>
      <c r="I54" s="75">
        <f>SUM(I44:I53)</f>
        <v>33399.561322699999</v>
      </c>
      <c r="J54" s="30">
        <f>I54/I$19</f>
        <v>4.5424997552094296E-2</v>
      </c>
      <c r="K54" s="75">
        <f>SUM(K44:K53)</f>
        <v>34138.2454077</v>
      </c>
      <c r="L54" s="30">
        <f>K54/K$19</f>
        <v>4.3838904179351476E-2</v>
      </c>
      <c r="M54" s="75">
        <f>SUM(M44:M53)</f>
        <v>34138.2454077</v>
      </c>
      <c r="N54" s="30">
        <f>M54/M$19</f>
        <v>4.3838904179351476E-2</v>
      </c>
      <c r="O54" s="75">
        <f>SUM(O44:O53)</f>
        <v>34138.2454077</v>
      </c>
      <c r="P54" s="30">
        <f>O54/O$19</f>
        <v>4.3838904179351476E-2</v>
      </c>
      <c r="Q54" s="75">
        <f>SUM(Q44:Q53)</f>
        <v>34138.2454077</v>
      </c>
      <c r="R54" s="30">
        <f>Q54/Q$19</f>
        <v>4.3838904179351476E-2</v>
      </c>
      <c r="S54" s="75">
        <f>SUM(S44:S53)</f>
        <v>34876.929492700001</v>
      </c>
      <c r="T54" s="30">
        <f>S54/S$19</f>
        <v>4.2420461638986551E-2</v>
      </c>
      <c r="U54" s="75">
        <f>SUM(U44:U53)</f>
        <v>34376.929492700001</v>
      </c>
      <c r="V54" s="30">
        <f>U54/U$19</f>
        <v>4.1812316623699788E-2</v>
      </c>
      <c r="W54" s="75">
        <f>SUM(W44:W53)</f>
        <v>34746.271535200001</v>
      </c>
      <c r="X54" s="30">
        <f>W54/W$19</f>
        <v>4.1173528233387456E-2</v>
      </c>
      <c r="Y54" s="75">
        <f>SUM(Y44:Y53)</f>
        <v>34996.271535200001</v>
      </c>
      <c r="Z54" s="30">
        <f>Y54/Y$19</f>
        <v>4.1469772451933874E-2</v>
      </c>
      <c r="AA54" s="75">
        <f>SUM(AA44:AA53)</f>
        <v>424327.84507126082</v>
      </c>
      <c r="AB54" s="30">
        <f>AA54/AA$19</f>
        <v>4.3230815243301281E-2</v>
      </c>
      <c r="AC54" s="75">
        <f>SUM(AC44:AC53)</f>
        <v>33785.921208</v>
      </c>
      <c r="AD54" s="30">
        <f>AC54/AC$19</f>
        <v>3.719069333058686E-2</v>
      </c>
      <c r="AE54" s="75">
        <f>SUM(AE44:AE53)</f>
        <v>34269.628872000001</v>
      </c>
      <c r="AF54" s="30">
        <f>AE54/AE$19</f>
        <v>3.6831729578414019E-2</v>
      </c>
      <c r="AG54" s="75">
        <f>SUM(AG44:AG53)</f>
        <v>34019.628872000001</v>
      </c>
      <c r="AH54" s="30">
        <f>AG54/AG$19</f>
        <v>3.656303882518188E-2</v>
      </c>
      <c r="AI54" s="75">
        <f>SUM(AI44:AI53)</f>
        <v>29622.286472</v>
      </c>
      <c r="AJ54" s="30">
        <f>AI54/AI$19</f>
        <v>4.0547454372427273E-2</v>
      </c>
      <c r="AK54" s="75">
        <f>SUM(AK44:AK53)</f>
        <v>30721.622072000002</v>
      </c>
      <c r="AL54" s="30">
        <f>AK54/AK$19</f>
        <v>3.9360037319134872E-2</v>
      </c>
      <c r="AM54" s="31"/>
      <c r="AN54" s="75">
        <f>SUM(AN44:AN53)</f>
        <v>29721.623553221096</v>
      </c>
      <c r="AO54" s="30">
        <f>AN54/AN$19</f>
        <v>3.8078855650863185E-2</v>
      </c>
      <c r="AP54" s="75">
        <f>SUM(AP44:AP53)</f>
        <v>29721.623931324782</v>
      </c>
      <c r="AQ54" s="30">
        <f>AP54/AP$19</f>
        <v>3.8078856135283411E-2</v>
      </c>
      <c r="AR54" s="75">
        <f>SUM(AR44:AR53)</f>
        <v>29721.623447968599</v>
      </c>
      <c r="AS54" s="30">
        <f>AR54/AR$19</f>
        <v>3.8078855516015413E-2</v>
      </c>
      <c r="AT54" s="75">
        <f>SUM(AT44:AT53)</f>
        <v>30820.959015453765</v>
      </c>
      <c r="AU54" s="30">
        <f>AT54/AT$19</f>
        <v>3.7111415313445917E-2</v>
      </c>
      <c r="AV54" s="75">
        <f>SUM(AV44:AV53)</f>
        <v>30820.958746763012</v>
      </c>
      <c r="AW54" s="30">
        <f>AV54/AV$19</f>
        <v>3.7111414989916262E-2</v>
      </c>
      <c r="AX54" s="75">
        <f>SUM(AX44:AX53)</f>
        <v>31370.626840815825</v>
      </c>
      <c r="AY54" s="30">
        <f>AX54/AX$19</f>
        <v>3.6670077279031467E-2</v>
      </c>
      <c r="AZ54" s="75">
        <f>SUM(AZ44:AZ53)</f>
        <v>31370.626753183569</v>
      </c>
      <c r="BA54" s="30">
        <f>AZ54/AZ$19</f>
        <v>3.667007717659547E-2</v>
      </c>
      <c r="BB54" s="84">
        <f t="shared" si="2"/>
        <v>375967.58207723615</v>
      </c>
      <c r="BC54" s="30">
        <f>BB54/BB$19</f>
        <v>3.7619431439051942E-2</v>
      </c>
    </row>
    <row r="55" spans="1:55" s="13" customFormat="1" ht="11" outlineLevel="1" x14ac:dyDescent="0.15">
      <c r="A55" s="74" t="s">
        <v>87</v>
      </c>
      <c r="B55" s="3"/>
      <c r="C55" s="12"/>
      <c r="D55" s="30"/>
      <c r="E55" s="12"/>
      <c r="F55" s="30"/>
      <c r="G55" s="12"/>
      <c r="H55" s="30"/>
      <c r="I55" s="12"/>
      <c r="J55" s="30"/>
      <c r="K55" s="12"/>
      <c r="L55" s="30"/>
      <c r="M55" s="12"/>
      <c r="N55" s="30"/>
      <c r="O55" s="12"/>
      <c r="P55" s="30"/>
      <c r="Q55" s="12"/>
      <c r="R55" s="30"/>
      <c r="S55" s="12"/>
      <c r="T55" s="30"/>
      <c r="U55" s="12"/>
      <c r="V55" s="30"/>
      <c r="W55" s="12"/>
      <c r="X55" s="30"/>
      <c r="Y55" s="12"/>
      <c r="Z55" s="30"/>
      <c r="AA55" s="29"/>
      <c r="AB55" s="30"/>
      <c r="AC55" s="12"/>
      <c r="AD55" s="30"/>
      <c r="AE55" s="12"/>
      <c r="AF55" s="30"/>
      <c r="AG55" s="12"/>
      <c r="AH55" s="30"/>
      <c r="AI55" s="12"/>
      <c r="AJ55" s="30"/>
      <c r="AK55" s="12"/>
      <c r="AL55" s="30"/>
      <c r="AM55" s="31"/>
      <c r="AN55" s="12"/>
      <c r="AO55" s="30"/>
      <c r="AP55" s="12"/>
      <c r="AQ55" s="30"/>
      <c r="AR55" s="12"/>
      <c r="AS55" s="30"/>
      <c r="AT55" s="12"/>
      <c r="AU55" s="30"/>
      <c r="AV55" s="12"/>
      <c r="AW55" s="30"/>
      <c r="AX55" s="12"/>
      <c r="AY55" s="30"/>
      <c r="AZ55" s="12"/>
      <c r="BA55" s="30"/>
      <c r="BB55" s="84"/>
      <c r="BC55" s="30"/>
    </row>
    <row r="56" spans="1:55" s="13" customFormat="1" ht="11" outlineLevel="1" x14ac:dyDescent="0.15">
      <c r="A56" s="3" t="s">
        <v>19</v>
      </c>
      <c r="B56" s="3"/>
      <c r="C56" s="12">
        <v>30000</v>
      </c>
      <c r="D56" s="30">
        <f>C56/$C$19</f>
        <v>3.5716094866300091E-2</v>
      </c>
      <c r="E56" s="12">
        <v>30000</v>
      </c>
      <c r="F56" s="30">
        <f>E56/$E$19</f>
        <v>3.3933721418381899E-2</v>
      </c>
      <c r="G56" s="12">
        <v>30000</v>
      </c>
      <c r="H56" s="30">
        <f>G56/$G$19</f>
        <v>3.3000529116953649E-2</v>
      </c>
      <c r="I56" s="12">
        <v>30000</v>
      </c>
      <c r="J56" s="30">
        <f>I56/$I$19</f>
        <v>4.0801431892958318E-2</v>
      </c>
      <c r="K56" s="12">
        <v>30000</v>
      </c>
      <c r="L56" s="30">
        <f>K56/$K$19</f>
        <v>3.8524742841174367E-2</v>
      </c>
      <c r="M56" s="12">
        <v>30000</v>
      </c>
      <c r="N56" s="30">
        <f>M56/$M$19</f>
        <v>3.8524742841174367E-2</v>
      </c>
      <c r="O56" s="12">
        <v>30000</v>
      </c>
      <c r="P56" s="30">
        <f>O56/$O$19</f>
        <v>3.8524742841174367E-2</v>
      </c>
      <c r="Q56" s="12">
        <v>30000</v>
      </c>
      <c r="R56" s="30">
        <f>Q56/$Q$19</f>
        <v>3.8524742841174367E-2</v>
      </c>
      <c r="S56" s="12">
        <v>30000</v>
      </c>
      <c r="T56" s="30">
        <f>S56/$S$19</f>
        <v>3.6488700917205567E-2</v>
      </c>
      <c r="U56" s="12">
        <v>30000</v>
      </c>
      <c r="V56" s="30">
        <f>U56/$U$19</f>
        <v>3.6488700917205567E-2</v>
      </c>
      <c r="W56" s="12">
        <v>30000</v>
      </c>
      <c r="X56" s="30">
        <f>W56/$W$19</f>
        <v>3.5549306225569788E-2</v>
      </c>
      <c r="Y56" s="12">
        <v>30000</v>
      </c>
      <c r="Z56" s="30">
        <f>Y56/$Y$19</f>
        <v>3.5549306225569788E-2</v>
      </c>
      <c r="AA56" s="29">
        <f t="shared" ref="AA56:AA64" si="135">SUM(C56:Y56)</f>
        <v>360000.40607745672</v>
      </c>
      <c r="AB56" s="30">
        <f t="shared" ref="AB56:AB64" si="136">AA56/$AA$19</f>
        <v>3.6677091129935925E-2</v>
      </c>
      <c r="AC56" s="12">
        <f>(7.5%*SUM(AC7+AC8+AC9)+10%*AC16)+6500</f>
        <v>89348.16889999999</v>
      </c>
      <c r="AD56" s="30">
        <f>AC56/$AC$19</f>
        <v>9.8352219812273767E-2</v>
      </c>
      <c r="AE56" s="12">
        <f>(7.5%*SUM(AE7+AE8+AE9)+10%*AE16)+6500</f>
        <v>91353.295100000003</v>
      </c>
      <c r="AF56" s="30">
        <f>AE56/$AE$19</f>
        <v>9.818314268262715E-2</v>
      </c>
      <c r="AG56" s="12">
        <f>(7.5%*SUM(AG7+AG8+AG9)+10%*AG16)+6500</f>
        <v>91353.295100000003</v>
      </c>
      <c r="AH56" s="30">
        <f>AG56/$AG$19</f>
        <v>9.818314268262715E-2</v>
      </c>
      <c r="AI56" s="12">
        <f>(7.5%*SUM(AI7+AI8+AI9)+10%*AI16)+6500</f>
        <v>73124.87509999999</v>
      </c>
      <c r="AJ56" s="30">
        <f>AI56/$AI$19</f>
        <v>0.10009448593407326</v>
      </c>
      <c r="AK56" s="12">
        <f>(7.5%*SUM(AK7+AK8+AK9)+10%*AK16)+6500</f>
        <v>77681.980100000001</v>
      </c>
      <c r="AL56" s="30">
        <f>AK56/$AK$19</f>
        <v>9.9524876277512345E-2</v>
      </c>
      <c r="AM56" s="31">
        <v>2.1072329856603358E-2</v>
      </c>
      <c r="AN56" s="12">
        <f>(7.5%*SUM(AN7+AN8+AN9)+10%*AN16)+6500</f>
        <v>77681.980100000001</v>
      </c>
      <c r="AO56" s="30">
        <f>AN56/$AN$19</f>
        <v>9.9524876277512345E-2</v>
      </c>
      <c r="AP56" s="12">
        <f>(7.5%*SUM(AP7+AP8+AP9)+10%*AP16)+6500</f>
        <v>77681.980100000001</v>
      </c>
      <c r="AQ56" s="30">
        <f>AP56/$AP$19</f>
        <v>9.9524876277512345E-2</v>
      </c>
      <c r="AR56" s="12">
        <f>(7.5%*SUM(AR7+AR8+AR9)+10%*AR16)+6500</f>
        <v>77681.980100000001</v>
      </c>
      <c r="AS56" s="30">
        <f>AR56/$AR$19</f>
        <v>9.9524876277512345E-2</v>
      </c>
      <c r="AT56" s="12">
        <f>(7.5%*SUM(AT7+AT8+AT9)+10%*AT16)+6500</f>
        <v>82239.085099999997</v>
      </c>
      <c r="AU56" s="30">
        <f>AT56/$AT$19</f>
        <v>9.9023811705976794E-2</v>
      </c>
      <c r="AV56" s="12">
        <f>(7.5%*SUM(AV7+AV8+AV9)+10%*AV16)+6500</f>
        <v>82239.085099999997</v>
      </c>
      <c r="AW56" s="30">
        <f>AV56/$AV$19</f>
        <v>9.9023811705976794E-2</v>
      </c>
      <c r="AX56" s="12">
        <f>(7.5%*SUM(AX7+AX8+AX9)+10%*AX16)+6500</f>
        <v>84517.637600000002</v>
      </c>
      <c r="AY56" s="30">
        <f>AX56/$AX$19</f>
        <v>9.8795230263004089E-2</v>
      </c>
      <c r="AZ56" s="12">
        <f>(7.5%*SUM(AZ7+AZ8+AZ9)+10%*AZ16)+6500</f>
        <v>84517.637600000002</v>
      </c>
      <c r="BA56" s="30">
        <f>AZ56/$AZ$19</f>
        <v>9.8795230263004089E-2</v>
      </c>
      <c r="BB56" s="84">
        <f t="shared" si="2"/>
        <v>989422.20962291025</v>
      </c>
      <c r="BC56" s="30">
        <f>BB56/$BB$19</f>
        <v>9.9001889401033064E-2</v>
      </c>
    </row>
    <row r="57" spans="1:55" s="13" customFormat="1" ht="11" outlineLevel="1" x14ac:dyDescent="0.15">
      <c r="A57" s="3" t="s">
        <v>21</v>
      </c>
      <c r="B57" s="3"/>
      <c r="C57" s="12">
        <v>500</v>
      </c>
      <c r="D57" s="30">
        <f>C57/$C$19</f>
        <v>5.9526824777166823E-4</v>
      </c>
      <c r="E57" s="12">
        <v>500</v>
      </c>
      <c r="F57" s="30">
        <f>E57/$E$19</f>
        <v>5.6556202363969841E-4</v>
      </c>
      <c r="G57" s="12">
        <v>500</v>
      </c>
      <c r="H57" s="30">
        <f>G57/$G$19</f>
        <v>5.5000881861589409E-4</v>
      </c>
      <c r="I57" s="12">
        <v>500</v>
      </c>
      <c r="J57" s="30">
        <f>I57/$I$19</f>
        <v>6.8002386488263868E-4</v>
      </c>
      <c r="K57" s="12">
        <v>500</v>
      </c>
      <c r="L57" s="30">
        <f>K57/$K$19</f>
        <v>6.4207904735290604E-4</v>
      </c>
      <c r="M57" s="12">
        <v>500</v>
      </c>
      <c r="N57" s="30">
        <f>M57/$M$19</f>
        <v>6.4207904735290604E-4</v>
      </c>
      <c r="O57" s="12">
        <v>500</v>
      </c>
      <c r="P57" s="30">
        <f>O57/$O$19</f>
        <v>6.4207904735290604E-4</v>
      </c>
      <c r="Q57" s="12">
        <v>500</v>
      </c>
      <c r="R57" s="30">
        <f>Q57/$Q$19</f>
        <v>6.4207904735290604E-4</v>
      </c>
      <c r="S57" s="12">
        <v>500</v>
      </c>
      <c r="T57" s="30">
        <f>S57/$S$19</f>
        <v>6.0814501528675942E-4</v>
      </c>
      <c r="U57" s="12">
        <v>500</v>
      </c>
      <c r="V57" s="30">
        <f>U57/$U$19</f>
        <v>6.0814501528675942E-4</v>
      </c>
      <c r="W57" s="12">
        <v>500</v>
      </c>
      <c r="X57" s="30">
        <f>W57/$W$19</f>
        <v>5.9248843709282977E-4</v>
      </c>
      <c r="Y57" s="12">
        <v>500</v>
      </c>
      <c r="Z57" s="30">
        <f>Y57/$Y$19</f>
        <v>5.9248843709282977E-4</v>
      </c>
      <c r="AA57" s="29">
        <f t="shared" si="135"/>
        <v>6000.0067679576123</v>
      </c>
      <c r="AB57" s="30">
        <f t="shared" si="136"/>
        <v>6.1128485216559885E-4</v>
      </c>
      <c r="AC57" s="12">
        <v>250</v>
      </c>
      <c r="AD57" s="30">
        <f>AC57/$AC$19</f>
        <v>2.751937197570083E-4</v>
      </c>
      <c r="AE57" s="12">
        <v>250</v>
      </c>
      <c r="AF57" s="30">
        <f>AE57/$AE$19</f>
        <v>2.6869075323213804E-4</v>
      </c>
      <c r="AG57" s="12">
        <v>250</v>
      </c>
      <c r="AH57" s="30">
        <f>AG57/$AG$19</f>
        <v>2.6869075323213804E-4</v>
      </c>
      <c r="AI57" s="12">
        <v>250</v>
      </c>
      <c r="AJ57" s="30">
        <f>AI57/$AI$19</f>
        <v>3.422039552108352E-4</v>
      </c>
      <c r="AK57" s="12">
        <v>250</v>
      </c>
      <c r="AL57" s="30">
        <f>AK57/$AK$19</f>
        <v>3.2029589149695331E-4</v>
      </c>
      <c r="AM57" s="31">
        <v>9.4678732319619706E-4</v>
      </c>
      <c r="AN57" s="12">
        <v>250</v>
      </c>
      <c r="AO57" s="30">
        <f>AN57/$AN$19</f>
        <v>3.2029589149695331E-4</v>
      </c>
      <c r="AP57" s="12">
        <v>250</v>
      </c>
      <c r="AQ57" s="30">
        <f>AP57/$AP$19</f>
        <v>3.2029589149695331E-4</v>
      </c>
      <c r="AR57" s="12">
        <v>250</v>
      </c>
      <c r="AS57" s="30">
        <f>AR57/$AR$19</f>
        <v>3.2029589149695331E-4</v>
      </c>
      <c r="AT57" s="12">
        <v>250</v>
      </c>
      <c r="AU57" s="30">
        <f>AT57/$AT$19</f>
        <v>3.0102417720712462E-4</v>
      </c>
      <c r="AV57" s="12">
        <v>250</v>
      </c>
      <c r="AW57" s="30">
        <f>AV57/$AV$19</f>
        <v>3.0102417720712462E-4</v>
      </c>
      <c r="AX57" s="12">
        <v>250</v>
      </c>
      <c r="AY57" s="30">
        <f>AX57/$AX$19</f>
        <v>2.9223258324663612E-4</v>
      </c>
      <c r="AZ57" s="12">
        <v>250</v>
      </c>
      <c r="BA57" s="30">
        <f>AZ57/$AZ$19</f>
        <v>2.9223258324663612E-4</v>
      </c>
      <c r="BB57" s="84">
        <f t="shared" si="2"/>
        <v>3000.0045692635917</v>
      </c>
      <c r="BC57" s="30">
        <f>BB57/$BB$19</f>
        <v>3.0018137624182026E-4</v>
      </c>
    </row>
    <row r="58" spans="1:55" s="13" customFormat="1" ht="11" outlineLevel="1" x14ac:dyDescent="0.15">
      <c r="A58" s="3" t="s">
        <v>22</v>
      </c>
      <c r="B58" s="3"/>
      <c r="C58" s="12">
        <f>35000/12</f>
        <v>2916.6666666666665</v>
      </c>
      <c r="D58" s="30">
        <f>C58/$C$19</f>
        <v>3.4723981120013975E-3</v>
      </c>
      <c r="E58" s="12">
        <v>2917</v>
      </c>
      <c r="F58" s="30">
        <f>E58/$E$19</f>
        <v>3.299488845914E-3</v>
      </c>
      <c r="G58" s="12">
        <v>2917</v>
      </c>
      <c r="H58" s="30">
        <f>G58/$G$19</f>
        <v>3.2087514478051265E-3</v>
      </c>
      <c r="I58" s="12">
        <v>2917</v>
      </c>
      <c r="J58" s="30">
        <f>I58/$I$19</f>
        <v>3.9672592277253142E-3</v>
      </c>
      <c r="K58" s="12">
        <v>2917</v>
      </c>
      <c r="L58" s="30">
        <f>K58/$K$19</f>
        <v>3.7458891622568539E-3</v>
      </c>
      <c r="M58" s="12">
        <v>2917</v>
      </c>
      <c r="N58" s="30">
        <f>M58/$M$19</f>
        <v>3.7458891622568539E-3</v>
      </c>
      <c r="O58" s="12">
        <v>2917</v>
      </c>
      <c r="P58" s="30">
        <f>O58/$O$19</f>
        <v>3.7458891622568539E-3</v>
      </c>
      <c r="Q58" s="12">
        <v>2917</v>
      </c>
      <c r="R58" s="30">
        <f>Q58/$Q$19</f>
        <v>3.7458891622568539E-3</v>
      </c>
      <c r="S58" s="12">
        <v>2917</v>
      </c>
      <c r="T58" s="30">
        <f>S58/$S$19</f>
        <v>3.5479180191829549E-3</v>
      </c>
      <c r="U58" s="12">
        <v>2917</v>
      </c>
      <c r="V58" s="30">
        <f>U58/$U$19</f>
        <v>3.5479180191829549E-3</v>
      </c>
      <c r="W58" s="12">
        <v>2917</v>
      </c>
      <c r="X58" s="30">
        <f>W58/$W$19</f>
        <v>3.4565775419995691E-3</v>
      </c>
      <c r="Y58" s="12">
        <v>2917</v>
      </c>
      <c r="Z58" s="30">
        <f>Y58/$Y$19</f>
        <v>3.4565775419995691E-3</v>
      </c>
      <c r="AA58" s="29">
        <f t="shared" si="135"/>
        <v>35003.706150534534</v>
      </c>
      <c r="AB58" s="30">
        <f t="shared" si="136"/>
        <v>3.5662018672624148E-3</v>
      </c>
      <c r="AC58" s="12">
        <v>2917</v>
      </c>
      <c r="AD58" s="30">
        <f>AC58/$AC$19</f>
        <v>3.2109603221247727E-3</v>
      </c>
      <c r="AE58" s="12">
        <v>2917</v>
      </c>
      <c r="AF58" s="30">
        <f>AE58/$AE$19</f>
        <v>3.1350837087125868E-3</v>
      </c>
      <c r="AG58" s="12">
        <v>2917</v>
      </c>
      <c r="AH58" s="30">
        <f>AG58/$AG$19</f>
        <v>3.1350837087125868E-3</v>
      </c>
      <c r="AI58" s="12">
        <v>2917</v>
      </c>
      <c r="AJ58" s="30">
        <f>AI58/$AI$19</f>
        <v>3.9928357494000257E-3</v>
      </c>
      <c r="AK58" s="12">
        <v>2917</v>
      </c>
      <c r="AL58" s="30">
        <f>AK58/$AK$19</f>
        <v>3.737212461986451E-3</v>
      </c>
      <c r="AM58" s="31">
        <v>1.1361447878354365E-2</v>
      </c>
      <c r="AN58" s="12">
        <v>2917</v>
      </c>
      <c r="AO58" s="30">
        <f>AN58/$AN$19</f>
        <v>3.737212461986451E-3</v>
      </c>
      <c r="AP58" s="12">
        <v>2917</v>
      </c>
      <c r="AQ58" s="30">
        <f>AP58/$AP$19</f>
        <v>3.737212461986451E-3</v>
      </c>
      <c r="AR58" s="12">
        <v>2917</v>
      </c>
      <c r="AS58" s="30">
        <f>AR58/$AR$19</f>
        <v>3.737212461986451E-3</v>
      </c>
      <c r="AT58" s="12">
        <v>2917</v>
      </c>
      <c r="AU58" s="30">
        <f>AT58/$AT$19</f>
        <v>3.5123500996527297E-3</v>
      </c>
      <c r="AV58" s="12">
        <v>2917</v>
      </c>
      <c r="AW58" s="30">
        <f>AV58/$AV$19</f>
        <v>3.5123500996527297E-3</v>
      </c>
      <c r="AX58" s="12">
        <v>2917</v>
      </c>
      <c r="AY58" s="30">
        <f>AX58/$AX$19</f>
        <v>3.4097697813217499E-3</v>
      </c>
      <c r="AZ58" s="12">
        <v>2917</v>
      </c>
      <c r="BA58" s="30">
        <f>AZ58/$AZ$19</f>
        <v>3.4097697813217499E-3</v>
      </c>
      <c r="BB58" s="84">
        <f t="shared" si="2"/>
        <v>35004.053628500973</v>
      </c>
      <c r="BC58" s="30">
        <f>BB58/$BB$19</f>
        <v>3.5025163294418534E-3</v>
      </c>
    </row>
    <row r="59" spans="1:55" s="13" customFormat="1" ht="11" outlineLevel="1" x14ac:dyDescent="0.15">
      <c r="A59" s="3" t="s">
        <v>82</v>
      </c>
      <c r="B59" s="3"/>
      <c r="C59" s="12">
        <v>2000</v>
      </c>
      <c r="D59" s="30">
        <f>C59/C$19</f>
        <v>2.3810729910866729E-3</v>
      </c>
      <c r="E59" s="12">
        <v>2000</v>
      </c>
      <c r="F59" s="30">
        <f>E59/E$19</f>
        <v>2.2622480945587936E-3</v>
      </c>
      <c r="G59" s="12">
        <v>2000</v>
      </c>
      <c r="H59" s="30">
        <f>G59/G$19</f>
        <v>2.2000352744635764E-3</v>
      </c>
      <c r="I59" s="12">
        <v>2000</v>
      </c>
      <c r="J59" s="30">
        <f>I59/I$19</f>
        <v>2.7200954595305547E-3</v>
      </c>
      <c r="K59" s="12">
        <v>2000</v>
      </c>
      <c r="L59" s="30">
        <f>K59/K$19</f>
        <v>2.5683161894116241E-3</v>
      </c>
      <c r="M59" s="12">
        <v>2000</v>
      </c>
      <c r="N59" s="30">
        <f>M59/M$19</f>
        <v>2.5683161894116241E-3</v>
      </c>
      <c r="O59" s="12">
        <v>2000</v>
      </c>
      <c r="P59" s="30">
        <f>O59/O$19</f>
        <v>2.5683161894116241E-3</v>
      </c>
      <c r="Q59" s="12">
        <v>2000</v>
      </c>
      <c r="R59" s="30">
        <f>Q59/Q$19</f>
        <v>2.5683161894116241E-3</v>
      </c>
      <c r="S59" s="12">
        <v>2000</v>
      </c>
      <c r="T59" s="30">
        <f>S59/S$19</f>
        <v>2.4325800611470377E-3</v>
      </c>
      <c r="U59" s="12">
        <v>2000</v>
      </c>
      <c r="V59" s="30">
        <f>U59/U$19</f>
        <v>2.4325800611470377E-3</v>
      </c>
      <c r="W59" s="12">
        <v>2000</v>
      </c>
      <c r="X59" s="30">
        <f>W59/W$19</f>
        <v>2.3699537483713191E-3</v>
      </c>
      <c r="Y59" s="12">
        <v>2000</v>
      </c>
      <c r="Z59" s="30">
        <f>Y59/Y$19</f>
        <v>2.3699537483713191E-3</v>
      </c>
      <c r="AA59" s="29">
        <f t="shared" si="135"/>
        <v>24000.027071830449</v>
      </c>
      <c r="AB59" s="30">
        <f t="shared" si="136"/>
        <v>2.4451394086623954E-3</v>
      </c>
      <c r="AC59" s="12">
        <v>150</v>
      </c>
      <c r="AD59" s="30">
        <f>AC59/AC$19</f>
        <v>1.6511623185420498E-4</v>
      </c>
      <c r="AE59" s="12">
        <v>150</v>
      </c>
      <c r="AF59" s="30">
        <f>AE59/AE$19</f>
        <v>1.6121445193928284E-4</v>
      </c>
      <c r="AG59" s="12">
        <v>150</v>
      </c>
      <c r="AH59" s="30">
        <f>AG59/AG$19</f>
        <v>1.6121445193928284E-4</v>
      </c>
      <c r="AI59" s="12">
        <v>150</v>
      </c>
      <c r="AJ59" s="30">
        <f>AI59/AI$19</f>
        <v>2.0532237312650113E-4</v>
      </c>
      <c r="AK59" s="12">
        <v>150</v>
      </c>
      <c r="AL59" s="30">
        <f>AK59/AK$19</f>
        <v>1.9217753489817198E-4</v>
      </c>
      <c r="AM59" s="31"/>
      <c r="AN59" s="12">
        <v>150</v>
      </c>
      <c r="AO59" s="30">
        <f>AN59/AN$19</f>
        <v>1.9217753489817198E-4</v>
      </c>
      <c r="AP59" s="12">
        <v>150</v>
      </c>
      <c r="AQ59" s="30">
        <f>AP59/AP$19</f>
        <v>1.9217753489817198E-4</v>
      </c>
      <c r="AR59" s="12">
        <v>150</v>
      </c>
      <c r="AS59" s="30">
        <f>AR59/AR$19</f>
        <v>1.9217753489817198E-4</v>
      </c>
      <c r="AT59" s="12">
        <v>150</v>
      </c>
      <c r="AU59" s="30">
        <f>AT59/AT$19</f>
        <v>1.8061450632427477E-4</v>
      </c>
      <c r="AV59" s="12">
        <v>150</v>
      </c>
      <c r="AW59" s="30">
        <f>AV59/AV$19</f>
        <v>1.8061450632427477E-4</v>
      </c>
      <c r="AX59" s="12">
        <v>150</v>
      </c>
      <c r="AY59" s="30">
        <f>AX59/AX$19</f>
        <v>1.7533954994798165E-4</v>
      </c>
      <c r="AZ59" s="12">
        <v>150</v>
      </c>
      <c r="BA59" s="30">
        <f>AZ59/AZ$19</f>
        <v>1.7533954994798165E-4</v>
      </c>
      <c r="BB59" s="84">
        <f t="shared" si="2"/>
        <v>1800.002173485761</v>
      </c>
      <c r="BC59" s="30">
        <f>BB59/BB$19</f>
        <v>1.8010876890359436E-4</v>
      </c>
    </row>
    <row r="60" spans="1:55" s="13" customFormat="1" ht="11" outlineLevel="1" x14ac:dyDescent="0.15">
      <c r="A60" s="3" t="s">
        <v>77</v>
      </c>
      <c r="B60" s="3"/>
      <c r="C60" s="12">
        <f>15600/12</f>
        <v>1300</v>
      </c>
      <c r="D60" s="30">
        <f>C60/C$19</f>
        <v>1.5476974442063373E-3</v>
      </c>
      <c r="E60" s="12">
        <v>1300</v>
      </c>
      <c r="F60" s="30">
        <f>E60/E$19</f>
        <v>1.4704612614632158E-3</v>
      </c>
      <c r="G60" s="12">
        <v>1300</v>
      </c>
      <c r="H60" s="30">
        <f>G60/G$19</f>
        <v>1.4300229284013248E-3</v>
      </c>
      <c r="I60" s="12">
        <v>1300</v>
      </c>
      <c r="J60" s="30">
        <f>I60/I$19</f>
        <v>1.7680620486948606E-3</v>
      </c>
      <c r="K60" s="12">
        <v>1300</v>
      </c>
      <c r="L60" s="30">
        <f>K60/K$19</f>
        <v>1.6694055231175559E-3</v>
      </c>
      <c r="M60" s="12">
        <v>1300</v>
      </c>
      <c r="N60" s="30">
        <f>M60/M$19</f>
        <v>1.6694055231175559E-3</v>
      </c>
      <c r="O60" s="12">
        <v>1300</v>
      </c>
      <c r="P60" s="30">
        <f>O60/O$19</f>
        <v>1.6694055231175559E-3</v>
      </c>
      <c r="Q60" s="12">
        <v>1300</v>
      </c>
      <c r="R60" s="30">
        <f>Q60/Q$19</f>
        <v>1.6694055231175559E-3</v>
      </c>
      <c r="S60" s="12">
        <v>1300</v>
      </c>
      <c r="T60" s="30">
        <f>S60/S$19</f>
        <v>1.5811770397455747E-3</v>
      </c>
      <c r="U60" s="12">
        <v>1300</v>
      </c>
      <c r="V60" s="30">
        <f>U60/U$19</f>
        <v>1.5811770397455747E-3</v>
      </c>
      <c r="W60" s="12">
        <v>1300</v>
      </c>
      <c r="X60" s="30">
        <f>W60/W$19</f>
        <v>1.5404699364413574E-3</v>
      </c>
      <c r="Y60" s="12">
        <v>1300</v>
      </c>
      <c r="Z60" s="30">
        <f>Y60/Y$19</f>
        <v>1.5404699364413574E-3</v>
      </c>
      <c r="AA60" s="29">
        <f t="shared" si="135"/>
        <v>15600.01759668979</v>
      </c>
      <c r="AB60" s="30">
        <f t="shared" si="136"/>
        <v>1.5893406156305566E-3</v>
      </c>
      <c r="AC60" s="12">
        <v>1300</v>
      </c>
      <c r="AD60" s="30">
        <f>AC60/AC$19</f>
        <v>1.4310073427364432E-3</v>
      </c>
      <c r="AE60" s="12">
        <v>1300</v>
      </c>
      <c r="AF60" s="30">
        <f>AE60/AE$19</f>
        <v>1.3971919168071177E-3</v>
      </c>
      <c r="AG60" s="12">
        <v>1300</v>
      </c>
      <c r="AH60" s="30">
        <f>AG60/AG$19</f>
        <v>1.3971919168071177E-3</v>
      </c>
      <c r="AI60" s="12">
        <v>1300</v>
      </c>
      <c r="AJ60" s="30">
        <f>AI60/AI$19</f>
        <v>1.779460567096343E-3</v>
      </c>
      <c r="AK60" s="12">
        <v>1300</v>
      </c>
      <c r="AL60" s="30">
        <f>AK60/AK$19</f>
        <v>1.6655386357841571E-3</v>
      </c>
      <c r="AM60" s="31"/>
      <c r="AN60" s="12">
        <v>1300</v>
      </c>
      <c r="AO60" s="30">
        <f>AN60/AN$19</f>
        <v>1.6655386357841571E-3</v>
      </c>
      <c r="AP60" s="12">
        <v>1300</v>
      </c>
      <c r="AQ60" s="30">
        <f>AP60/AP$19</f>
        <v>1.6655386357841571E-3</v>
      </c>
      <c r="AR60" s="12">
        <v>1300</v>
      </c>
      <c r="AS60" s="30">
        <f>AR60/AR$19</f>
        <v>1.6655386357841571E-3</v>
      </c>
      <c r="AT60" s="12">
        <v>1300</v>
      </c>
      <c r="AU60" s="30">
        <f>AT60/AT$19</f>
        <v>1.565325721477048E-3</v>
      </c>
      <c r="AV60" s="12">
        <v>1300</v>
      </c>
      <c r="AW60" s="30">
        <f>AV60/AV$19</f>
        <v>1.565325721477048E-3</v>
      </c>
      <c r="AX60" s="12">
        <v>1300</v>
      </c>
      <c r="AY60" s="30">
        <f>AX60/AX$19</f>
        <v>1.5196094328825077E-3</v>
      </c>
      <c r="AZ60" s="12">
        <v>1300</v>
      </c>
      <c r="BA60" s="30">
        <f>AZ60/AZ$19</f>
        <v>1.5196094328825077E-3</v>
      </c>
      <c r="BB60" s="84">
        <f t="shared" si="2"/>
        <v>15600.018836876598</v>
      </c>
      <c r="BC60" s="30">
        <f>BB60/BB$19</f>
        <v>1.5609426638311513E-3</v>
      </c>
    </row>
    <row r="61" spans="1:55" s="13" customFormat="1" ht="11" outlineLevel="1" x14ac:dyDescent="0.15">
      <c r="A61" s="3" t="s">
        <v>13</v>
      </c>
      <c r="B61" s="3"/>
      <c r="C61" s="12">
        <v>1200</v>
      </c>
      <c r="D61" s="30">
        <f>C61/$C$19</f>
        <v>1.4286437946520038E-3</v>
      </c>
      <c r="E61" s="12">
        <v>1200</v>
      </c>
      <c r="F61" s="30">
        <f>E61/$E$19</f>
        <v>1.357348856735276E-3</v>
      </c>
      <c r="G61" s="12">
        <v>1200</v>
      </c>
      <c r="H61" s="30">
        <f>G61/$G$19</f>
        <v>1.3200211646781459E-3</v>
      </c>
      <c r="I61" s="12">
        <v>1200</v>
      </c>
      <c r="J61" s="30">
        <f>I61/$I$19</f>
        <v>1.6320572757183328E-3</v>
      </c>
      <c r="K61" s="12">
        <v>1200</v>
      </c>
      <c r="L61" s="30">
        <f>K61/$K$19</f>
        <v>1.5409897136469746E-3</v>
      </c>
      <c r="M61" s="12">
        <v>1200</v>
      </c>
      <c r="N61" s="30">
        <f>M61/$M$19</f>
        <v>1.5409897136469746E-3</v>
      </c>
      <c r="O61" s="12">
        <v>1200</v>
      </c>
      <c r="P61" s="30">
        <f>O61/$O$19</f>
        <v>1.5409897136469746E-3</v>
      </c>
      <c r="Q61" s="12">
        <v>1200</v>
      </c>
      <c r="R61" s="30">
        <f>Q61/$Q$19</f>
        <v>1.5409897136469746E-3</v>
      </c>
      <c r="S61" s="12">
        <v>1200</v>
      </c>
      <c r="T61" s="30">
        <f>S61/$S$19</f>
        <v>1.4595480366882227E-3</v>
      </c>
      <c r="U61" s="12">
        <v>1200</v>
      </c>
      <c r="V61" s="30">
        <f>U61/$U$19</f>
        <v>1.4595480366882227E-3</v>
      </c>
      <c r="W61" s="12">
        <v>1200</v>
      </c>
      <c r="X61" s="30">
        <f>W61/$W$19</f>
        <v>1.4219722490227916E-3</v>
      </c>
      <c r="Y61" s="12">
        <v>1200</v>
      </c>
      <c r="Z61" s="30">
        <f>Y61/$Y$19</f>
        <v>1.4219722490227916E-3</v>
      </c>
      <c r="AA61" s="29">
        <f t="shared" si="135"/>
        <v>14400.016243098267</v>
      </c>
      <c r="AB61" s="30">
        <f t="shared" si="136"/>
        <v>1.467083645197437E-3</v>
      </c>
      <c r="AC61" s="12">
        <v>1200</v>
      </c>
      <c r="AD61" s="30">
        <f>AC61/$AC$19</f>
        <v>1.3209298548336398E-3</v>
      </c>
      <c r="AE61" s="12">
        <v>1200</v>
      </c>
      <c r="AF61" s="30">
        <f>AE61/$AE$19</f>
        <v>1.2897156155142627E-3</v>
      </c>
      <c r="AG61" s="12">
        <v>1200</v>
      </c>
      <c r="AH61" s="30">
        <f>AG61/$AG$19</f>
        <v>1.2897156155142627E-3</v>
      </c>
      <c r="AI61" s="12">
        <v>1200</v>
      </c>
      <c r="AJ61" s="30">
        <f>AI61/$AI$19</f>
        <v>1.642578985012009E-3</v>
      </c>
      <c r="AK61" s="12">
        <v>1200</v>
      </c>
      <c r="AL61" s="30">
        <f>AK61/$AK$19</f>
        <v>1.5374202791853758E-3</v>
      </c>
      <c r="AM61" s="31">
        <v>4.9232940806202248E-3</v>
      </c>
      <c r="AN61" s="12">
        <v>1200</v>
      </c>
      <c r="AO61" s="30">
        <f>AN61/$AN$19</f>
        <v>1.5374202791853758E-3</v>
      </c>
      <c r="AP61" s="12">
        <v>1200</v>
      </c>
      <c r="AQ61" s="30">
        <f>AP61/$AP$19</f>
        <v>1.5374202791853758E-3</v>
      </c>
      <c r="AR61" s="12">
        <v>1200</v>
      </c>
      <c r="AS61" s="30">
        <f>AR61/$AR$19</f>
        <v>1.5374202791853758E-3</v>
      </c>
      <c r="AT61" s="12">
        <v>1200</v>
      </c>
      <c r="AU61" s="30">
        <f>AT61/$AT$19</f>
        <v>1.4449160505941982E-3</v>
      </c>
      <c r="AV61" s="12">
        <v>1200</v>
      </c>
      <c r="AW61" s="30">
        <f>AV61/$AV$19</f>
        <v>1.4449160505941982E-3</v>
      </c>
      <c r="AX61" s="12">
        <v>1200</v>
      </c>
      <c r="AY61" s="30">
        <f>AX61/$AX$19</f>
        <v>1.4027163995838532E-3</v>
      </c>
      <c r="AZ61" s="12">
        <v>1200</v>
      </c>
      <c r="BA61" s="30">
        <f>AZ61/$AZ$19</f>
        <v>1.4027163995838532E-3</v>
      </c>
      <c r="BB61" s="84">
        <f t="shared" si="2"/>
        <v>14400.02231118017</v>
      </c>
      <c r="BC61" s="30">
        <f>BB61/$BB$19</f>
        <v>1.440870643855069E-3</v>
      </c>
    </row>
    <row r="62" spans="1:55" s="13" customFormat="1" ht="11" outlineLevel="1" x14ac:dyDescent="0.15">
      <c r="A62" s="3" t="s">
        <v>12</v>
      </c>
      <c r="B62" s="3"/>
      <c r="C62" s="12">
        <v>500</v>
      </c>
      <c r="D62" s="30">
        <f>C62/$C$19</f>
        <v>5.9526824777166823E-4</v>
      </c>
      <c r="E62" s="12">
        <v>500</v>
      </c>
      <c r="F62" s="30">
        <f>E62/$E$19</f>
        <v>5.6556202363969841E-4</v>
      </c>
      <c r="G62" s="12">
        <v>500</v>
      </c>
      <c r="H62" s="30">
        <f>G62/$G$19</f>
        <v>5.5000881861589409E-4</v>
      </c>
      <c r="I62" s="12">
        <v>500</v>
      </c>
      <c r="J62" s="30">
        <f>I62/$I$19</f>
        <v>6.8002386488263868E-4</v>
      </c>
      <c r="K62" s="12">
        <v>500</v>
      </c>
      <c r="L62" s="30">
        <f>K62/$K$19</f>
        <v>6.4207904735290604E-4</v>
      </c>
      <c r="M62" s="12">
        <v>500</v>
      </c>
      <c r="N62" s="30">
        <f>M62/$M$19</f>
        <v>6.4207904735290604E-4</v>
      </c>
      <c r="O62" s="12">
        <v>500</v>
      </c>
      <c r="P62" s="30">
        <f>O62/$O$19</f>
        <v>6.4207904735290604E-4</v>
      </c>
      <c r="Q62" s="12">
        <v>500</v>
      </c>
      <c r="R62" s="30">
        <f>Q62/$Q$19</f>
        <v>6.4207904735290604E-4</v>
      </c>
      <c r="S62" s="12">
        <v>500</v>
      </c>
      <c r="T62" s="30">
        <f>S62/$S$19</f>
        <v>6.0814501528675942E-4</v>
      </c>
      <c r="U62" s="12">
        <v>500</v>
      </c>
      <c r="V62" s="30">
        <f>U62/$U$19</f>
        <v>6.0814501528675942E-4</v>
      </c>
      <c r="W62" s="12">
        <v>500</v>
      </c>
      <c r="X62" s="30">
        <f>W62/$W$19</f>
        <v>5.9248843709282977E-4</v>
      </c>
      <c r="Y62" s="12">
        <v>500</v>
      </c>
      <c r="Z62" s="30">
        <f>Y62/$Y$19</f>
        <v>5.9248843709282977E-4</v>
      </c>
      <c r="AA62" s="29">
        <f t="shared" si="135"/>
        <v>6000.0067679576123</v>
      </c>
      <c r="AB62" s="30">
        <f t="shared" si="136"/>
        <v>6.1128485216559885E-4</v>
      </c>
      <c r="AC62" s="12">
        <v>200</v>
      </c>
      <c r="AD62" s="30">
        <f>AC62/$AC$19</f>
        <v>2.2015497580560664E-4</v>
      </c>
      <c r="AE62" s="12">
        <v>200</v>
      </c>
      <c r="AF62" s="30">
        <f>AE62/$AE$19</f>
        <v>2.1495260258571044E-4</v>
      </c>
      <c r="AG62" s="12">
        <v>200</v>
      </c>
      <c r="AH62" s="30">
        <f>AG62/$AG$19</f>
        <v>2.1495260258571044E-4</v>
      </c>
      <c r="AI62" s="12">
        <v>200</v>
      </c>
      <c r="AJ62" s="30">
        <f>AI62/$AI$19</f>
        <v>2.7376316416866819E-4</v>
      </c>
      <c r="AK62" s="12">
        <v>200</v>
      </c>
      <c r="AL62" s="30">
        <f>AK62/$AK$19</f>
        <v>2.5623671319756266E-4</v>
      </c>
      <c r="AM62" s="31">
        <v>9.2406442743948837E-4</v>
      </c>
      <c r="AN62" s="12">
        <v>200</v>
      </c>
      <c r="AO62" s="30">
        <f>AN62/$AN$19</f>
        <v>2.5623671319756266E-4</v>
      </c>
      <c r="AP62" s="12">
        <v>200</v>
      </c>
      <c r="AQ62" s="30">
        <f>AP62/$AP$19</f>
        <v>2.5623671319756266E-4</v>
      </c>
      <c r="AR62" s="12">
        <v>200</v>
      </c>
      <c r="AS62" s="30">
        <f>AR62/$AR$19</f>
        <v>2.5623671319756266E-4</v>
      </c>
      <c r="AT62" s="12">
        <v>200</v>
      </c>
      <c r="AU62" s="30">
        <f>AT62/$AT$19</f>
        <v>2.4081934176569967E-4</v>
      </c>
      <c r="AV62" s="12">
        <v>200</v>
      </c>
      <c r="AW62" s="30">
        <f>AV62/$AV$19</f>
        <v>2.4081934176569967E-4</v>
      </c>
      <c r="AX62" s="12">
        <v>200</v>
      </c>
      <c r="AY62" s="30">
        <f>AX62/$AX$19</f>
        <v>2.3378606659730887E-4</v>
      </c>
      <c r="AZ62" s="12">
        <v>200</v>
      </c>
      <c r="BA62" s="30">
        <f>AZ62/$AZ$19</f>
        <v>2.3378606659730887E-4</v>
      </c>
      <c r="BB62" s="84">
        <f t="shared" si="2"/>
        <v>2400.0038220454417</v>
      </c>
      <c r="BC62" s="30">
        <f>BB62/$BB$19</f>
        <v>2.4014511766696212E-4</v>
      </c>
    </row>
    <row r="63" spans="1:55" s="13" customFormat="1" ht="11" outlineLevel="1" x14ac:dyDescent="0.15">
      <c r="A63" s="3" t="s">
        <v>122</v>
      </c>
      <c r="B63" s="3"/>
      <c r="C63" s="12">
        <v>160</v>
      </c>
      <c r="D63" s="30">
        <f>C63/$C$19</f>
        <v>1.9048583928693382E-4</v>
      </c>
      <c r="E63" s="12">
        <v>160</v>
      </c>
      <c r="F63" s="30">
        <f>E63/$E$19</f>
        <v>1.8097984756470348E-4</v>
      </c>
      <c r="G63" s="12">
        <v>160</v>
      </c>
      <c r="H63" s="30">
        <f>G63/$G$19</f>
        <v>1.7600282195708611E-4</v>
      </c>
      <c r="I63" s="12">
        <v>160</v>
      </c>
      <c r="J63" s="30">
        <f>I63/$I$19</f>
        <v>2.1760763676244437E-4</v>
      </c>
      <c r="K63" s="12">
        <v>160</v>
      </c>
      <c r="L63" s="30">
        <f>K63/$K$19</f>
        <v>2.0546529515292995E-4</v>
      </c>
      <c r="M63" s="12">
        <v>160</v>
      </c>
      <c r="N63" s="30">
        <f>M63/$M$19</f>
        <v>2.0546529515292995E-4</v>
      </c>
      <c r="O63" s="12">
        <v>160</v>
      </c>
      <c r="P63" s="30">
        <f>O63/$O$19</f>
        <v>2.0546529515292995E-4</v>
      </c>
      <c r="Q63" s="12">
        <v>160</v>
      </c>
      <c r="R63" s="30">
        <f>Q63/$Q$19</f>
        <v>2.0546529515292995E-4</v>
      </c>
      <c r="S63" s="12">
        <v>160</v>
      </c>
      <c r="T63" s="30">
        <f>S63/$S$19</f>
        <v>1.9460640489176302E-4</v>
      </c>
      <c r="U63" s="12">
        <v>160</v>
      </c>
      <c r="V63" s="30">
        <f>U63/$U$19</f>
        <v>1.9460640489176302E-4</v>
      </c>
      <c r="W63" s="12">
        <v>160</v>
      </c>
      <c r="X63" s="30">
        <f>W63/$W$19</f>
        <v>1.8959629986970553E-4</v>
      </c>
      <c r="Y63" s="12">
        <v>160</v>
      </c>
      <c r="Z63" s="30">
        <f>Y63/$Y$19</f>
        <v>1.8959629986970553E-4</v>
      </c>
      <c r="AA63" s="29">
        <f t="shared" si="135"/>
        <v>1920.002165746436</v>
      </c>
      <c r="AB63" s="30">
        <f t="shared" si="136"/>
        <v>1.9561115269299163E-4</v>
      </c>
      <c r="AC63" s="12">
        <v>160</v>
      </c>
      <c r="AD63" s="30">
        <f>AC63/$AC$19</f>
        <v>1.761239806444853E-4</v>
      </c>
      <c r="AE63" s="12">
        <v>160</v>
      </c>
      <c r="AF63" s="30">
        <f>AE63/$AE$19</f>
        <v>1.7196208206856834E-4</v>
      </c>
      <c r="AG63" s="12">
        <v>160</v>
      </c>
      <c r="AH63" s="30">
        <f>AG63/$AG$19</f>
        <v>1.7196208206856834E-4</v>
      </c>
      <c r="AI63" s="12">
        <v>160</v>
      </c>
      <c r="AJ63" s="30">
        <f>AI63/$AI$19</f>
        <v>2.1901053133493452E-4</v>
      </c>
      <c r="AK63" s="12">
        <v>160</v>
      </c>
      <c r="AL63" s="30">
        <f>AK63/$AK$19</f>
        <v>2.049893705580501E-4</v>
      </c>
      <c r="AM63" s="31"/>
      <c r="AN63" s="12">
        <v>160</v>
      </c>
      <c r="AO63" s="30">
        <f>AN63/$AN$19</f>
        <v>2.049893705580501E-4</v>
      </c>
      <c r="AP63" s="12">
        <v>160</v>
      </c>
      <c r="AQ63" s="30">
        <f>AP63/$AP$19</f>
        <v>2.049893705580501E-4</v>
      </c>
      <c r="AR63" s="12">
        <v>160</v>
      </c>
      <c r="AS63" s="30">
        <f>AR63/$AR$19</f>
        <v>2.049893705580501E-4</v>
      </c>
      <c r="AT63" s="12">
        <v>160</v>
      </c>
      <c r="AU63" s="30">
        <f>AT63/$AT$19</f>
        <v>1.9265547341255974E-4</v>
      </c>
      <c r="AV63" s="12">
        <v>160</v>
      </c>
      <c r="AW63" s="30">
        <f>AV63/$AV$19</f>
        <v>1.9265547341255974E-4</v>
      </c>
      <c r="AX63" s="12">
        <v>160</v>
      </c>
      <c r="AY63" s="30">
        <f>AX63/$AX$19</f>
        <v>1.8702885327784711E-4</v>
      </c>
      <c r="AZ63" s="12">
        <v>160</v>
      </c>
      <c r="BA63" s="30">
        <f>AZ63/$AZ$19</f>
        <v>1.8702885327784711E-4</v>
      </c>
      <c r="BB63" s="84">
        <f t="shared" si="2"/>
        <v>1920.002318384812</v>
      </c>
      <c r="BC63" s="30">
        <f>BB63/$BB$19</f>
        <v>1.9211602016383402E-4</v>
      </c>
    </row>
    <row r="64" spans="1:55" s="13" customFormat="1" ht="11" outlineLevel="1" x14ac:dyDescent="0.15">
      <c r="A64" s="3" t="s">
        <v>72</v>
      </c>
      <c r="B64" s="3"/>
      <c r="C64" s="12">
        <v>2500</v>
      </c>
      <c r="D64" s="30">
        <f>C64/$C$19</f>
        <v>2.9763412388583411E-3</v>
      </c>
      <c r="E64" s="12">
        <v>2500</v>
      </c>
      <c r="F64" s="30">
        <f>E64/$E$19</f>
        <v>2.8278101181984918E-3</v>
      </c>
      <c r="G64" s="12">
        <v>2500</v>
      </c>
      <c r="H64" s="30">
        <f>G64/$G$19</f>
        <v>2.7500440930794704E-3</v>
      </c>
      <c r="I64" s="12">
        <v>2500</v>
      </c>
      <c r="J64" s="30">
        <f>I64/$I$19</f>
        <v>3.4001193244131934E-3</v>
      </c>
      <c r="K64" s="12">
        <v>2500</v>
      </c>
      <c r="L64" s="30">
        <f>K64/$K$19</f>
        <v>3.2103952367645303E-3</v>
      </c>
      <c r="M64" s="12">
        <v>2500</v>
      </c>
      <c r="N64" s="30">
        <f>M64/$M$19</f>
        <v>3.2103952367645303E-3</v>
      </c>
      <c r="O64" s="12">
        <v>2500</v>
      </c>
      <c r="P64" s="30">
        <f>O64/$O$19</f>
        <v>3.2103952367645303E-3</v>
      </c>
      <c r="Q64" s="12">
        <v>2500</v>
      </c>
      <c r="R64" s="30">
        <f>Q64/$Q$19</f>
        <v>3.2103952367645303E-3</v>
      </c>
      <c r="S64" s="12">
        <v>2500</v>
      </c>
      <c r="T64" s="30">
        <f>S64/$S$19</f>
        <v>3.0407250764337974E-3</v>
      </c>
      <c r="U64" s="12">
        <v>2500</v>
      </c>
      <c r="V64" s="30">
        <f>U64/$U$19</f>
        <v>3.0407250764337974E-3</v>
      </c>
      <c r="W64" s="12">
        <v>2500</v>
      </c>
      <c r="X64" s="30">
        <f>W64/$W$19</f>
        <v>2.9624421854641493E-3</v>
      </c>
      <c r="Y64" s="12">
        <v>2500</v>
      </c>
      <c r="Z64" s="30">
        <f>Y64/$Y$19</f>
        <v>2.9624421854641493E-3</v>
      </c>
      <c r="AA64" s="29">
        <f t="shared" si="135"/>
        <v>30000.033839788059</v>
      </c>
      <c r="AB64" s="30">
        <f t="shared" si="136"/>
        <v>3.0564242608279936E-3</v>
      </c>
      <c r="AC64" s="12">
        <v>2500</v>
      </c>
      <c r="AD64" s="30">
        <f>AC64/$AC$19</f>
        <v>2.751937197570083E-3</v>
      </c>
      <c r="AE64" s="12">
        <v>2500</v>
      </c>
      <c r="AF64" s="30">
        <f>AE64/$AE$19</f>
        <v>2.6869075323213802E-3</v>
      </c>
      <c r="AG64" s="12">
        <v>2500</v>
      </c>
      <c r="AH64" s="30">
        <f>AG64/$AG$19</f>
        <v>2.6869075323213802E-3</v>
      </c>
      <c r="AI64" s="12">
        <v>2500</v>
      </c>
      <c r="AJ64" s="30">
        <f>AI64/$AI$19</f>
        <v>3.4220395521083521E-3</v>
      </c>
      <c r="AK64" s="12">
        <v>2500</v>
      </c>
      <c r="AL64" s="30">
        <f>AK64/$AK$19</f>
        <v>3.202958914969533E-3</v>
      </c>
      <c r="AM64" s="31">
        <v>0</v>
      </c>
      <c r="AN64" s="12">
        <v>2500</v>
      </c>
      <c r="AO64" s="30">
        <f>AN64/$AN$19</f>
        <v>3.202958914969533E-3</v>
      </c>
      <c r="AP64" s="12">
        <v>2500</v>
      </c>
      <c r="AQ64" s="30">
        <f>AP64/$AP$19</f>
        <v>3.202958914969533E-3</v>
      </c>
      <c r="AR64" s="12">
        <v>2500</v>
      </c>
      <c r="AS64" s="30">
        <f>AR64/$AR$19</f>
        <v>3.202958914969533E-3</v>
      </c>
      <c r="AT64" s="12">
        <v>2500</v>
      </c>
      <c r="AU64" s="30">
        <f>AT64/$AT$19</f>
        <v>3.0102417720712462E-3</v>
      </c>
      <c r="AV64" s="12">
        <v>2500</v>
      </c>
      <c r="AW64" s="30">
        <f>AV64/$AV$19</f>
        <v>3.0102417720712462E-3</v>
      </c>
      <c r="AX64" s="12">
        <v>2500</v>
      </c>
      <c r="AY64" s="30">
        <f>AX64/$AX$19</f>
        <v>2.922325832466361E-3</v>
      </c>
      <c r="AZ64" s="12">
        <v>2500</v>
      </c>
      <c r="BA64" s="30">
        <f>AZ64/$AZ$19</f>
        <v>2.922325832466361E-3</v>
      </c>
      <c r="BB64" s="84">
        <f t="shared" si="2"/>
        <v>30000.036224762687</v>
      </c>
      <c r="BC64" s="30">
        <f>BB64/$BB$19</f>
        <v>3.0018128150599063E-3</v>
      </c>
    </row>
    <row r="65" spans="1:55" s="13" customFormat="1" ht="11" x14ac:dyDescent="0.15">
      <c r="A65" s="13" t="s">
        <v>157</v>
      </c>
      <c r="C65" s="89">
        <f>SUM(C56:C64)</f>
        <v>41076.666666666664</v>
      </c>
      <c r="D65" s="30">
        <f>C65/C$19</f>
        <v>4.8903270781935113E-2</v>
      </c>
      <c r="E65" s="89">
        <f>SUM(E56:E64)</f>
        <v>41077</v>
      </c>
      <c r="F65" s="30">
        <f>E65/E$19</f>
        <v>4.6463182490095782E-2</v>
      </c>
      <c r="G65" s="89">
        <f>SUM(G56:G64)</f>
        <v>41077</v>
      </c>
      <c r="H65" s="30">
        <f>G65/G$19</f>
        <v>4.5185424484570164E-2</v>
      </c>
      <c r="I65" s="89">
        <f>SUM(I56:I64)</f>
        <v>41077</v>
      </c>
      <c r="J65" s="30">
        <f>I65/I$19</f>
        <v>5.5866680595568298E-2</v>
      </c>
      <c r="K65" s="89">
        <f>SUM(K56:K64)</f>
        <v>41077</v>
      </c>
      <c r="L65" s="30">
        <f>K65/K$19</f>
        <v>5.2749362056230646E-2</v>
      </c>
      <c r="M65" s="89">
        <f>SUM(M56:M64)</f>
        <v>41077</v>
      </c>
      <c r="N65" s="30">
        <f>M65/M$19</f>
        <v>5.2749362056230646E-2</v>
      </c>
      <c r="O65" s="89">
        <f>SUM(O56:O64)</f>
        <v>41077</v>
      </c>
      <c r="P65" s="30">
        <f>O65/O$19</f>
        <v>5.2749362056230646E-2</v>
      </c>
      <c r="Q65" s="89">
        <f>SUM(Q56:Q64)</f>
        <v>41077</v>
      </c>
      <c r="R65" s="30">
        <f>Q65/Q$19</f>
        <v>5.2749362056230646E-2</v>
      </c>
      <c r="S65" s="89">
        <f>SUM(S56:S64)</f>
        <v>41077</v>
      </c>
      <c r="T65" s="30">
        <f>S65/S$19</f>
        <v>4.996154558586844E-2</v>
      </c>
      <c r="U65" s="89">
        <f>SUM(U56:U64)</f>
        <v>41077</v>
      </c>
      <c r="V65" s="30">
        <f>U65/U$19</f>
        <v>4.996154558586844E-2</v>
      </c>
      <c r="W65" s="89">
        <f>SUM(W56:W64)</f>
        <v>41077</v>
      </c>
      <c r="X65" s="30">
        <f>W65/W$19</f>
        <v>4.8675295060924342E-2</v>
      </c>
      <c r="Y65" s="89">
        <f>SUM(Y56:Y64)</f>
        <v>41077</v>
      </c>
      <c r="Z65" s="30">
        <f>Y65/Y$19</f>
        <v>4.8675295060924342E-2</v>
      </c>
      <c r="AA65" s="89">
        <f>SUM(AA56:AA64)</f>
        <v>492924.22268105939</v>
      </c>
      <c r="AB65" s="30">
        <f>AA65/AA$19</f>
        <v>5.0219461784540904E-2</v>
      </c>
      <c r="AC65" s="11">
        <f>SUM(AC56:AC64)</f>
        <v>98025.16889999999</v>
      </c>
      <c r="AD65" s="30">
        <f>AC65/AC$19</f>
        <v>0.10790364343760001</v>
      </c>
      <c r="AE65" s="11">
        <f>SUM(AE56:AE64)</f>
        <v>100030.2951</v>
      </c>
      <c r="AF65" s="30">
        <f>AE65/AE$19</f>
        <v>0.10750886134580818</v>
      </c>
      <c r="AG65" s="11">
        <f>SUM(AG56:AG64)</f>
        <v>100030.2951</v>
      </c>
      <c r="AH65" s="30">
        <f>AG65/AG$19</f>
        <v>0.10750886134580818</v>
      </c>
      <c r="AI65" s="11">
        <f>SUM(AI56:AI64)</f>
        <v>81801.87509999999</v>
      </c>
      <c r="AJ65" s="30">
        <f>AI65/AI$19</f>
        <v>0.11197170081153093</v>
      </c>
      <c r="AK65" s="11">
        <f>SUM(AK56:AK64)</f>
        <v>86358.980100000001</v>
      </c>
      <c r="AL65" s="30">
        <f>AK65/AK$19</f>
        <v>0.11064170607958859</v>
      </c>
      <c r="AM65" s="31"/>
      <c r="AN65" s="11">
        <f>SUM(AN56:AN64)</f>
        <v>86358.980100000001</v>
      </c>
      <c r="AO65" s="30">
        <f>AN65/AN$19</f>
        <v>0.11064170607958859</v>
      </c>
      <c r="AP65" s="11">
        <f>SUM(AP56:AP64)</f>
        <v>86358.980100000001</v>
      </c>
      <c r="AQ65" s="30">
        <f>AP65/AP$19</f>
        <v>0.11064170607958859</v>
      </c>
      <c r="AR65" s="11">
        <f>SUM(AR56:AR64)</f>
        <v>86358.980100000001</v>
      </c>
      <c r="AS65" s="30">
        <f>AR65/AR$19</f>
        <v>0.11064170607958859</v>
      </c>
      <c r="AT65" s="11">
        <f>SUM(AT56:AT64)</f>
        <v>90916.085099999997</v>
      </c>
      <c r="AU65" s="30">
        <f>AT65/AT$19</f>
        <v>0.10947175884848168</v>
      </c>
      <c r="AV65" s="11">
        <f>SUM(AV56:AV64)</f>
        <v>90916.085099999997</v>
      </c>
      <c r="AW65" s="30">
        <f>AV65/AV$19</f>
        <v>0.10947175884848168</v>
      </c>
      <c r="AX65" s="11">
        <f>SUM(AX56:AX64)</f>
        <v>93194.637600000002</v>
      </c>
      <c r="AY65" s="30">
        <f>AX65/AX$19</f>
        <v>0.10893803876232833</v>
      </c>
      <c r="AZ65" s="11">
        <f>SUM(AZ56:AZ64)</f>
        <v>93194.637600000002</v>
      </c>
      <c r="BA65" s="30">
        <f>AZ65/AZ$19</f>
        <v>0.10893803876232833</v>
      </c>
      <c r="BB65" s="84">
        <f t="shared" si="2"/>
        <v>1093546.3142794864</v>
      </c>
      <c r="BC65" s="30">
        <f>BB65/BB$19</f>
        <v>0.10942057921103918</v>
      </c>
    </row>
    <row r="66" spans="1:55" s="13" customFormat="1" ht="20" customHeight="1" x14ac:dyDescent="0.15">
      <c r="C66" s="11"/>
      <c r="D66" s="20"/>
      <c r="F66" s="20"/>
      <c r="H66" s="20"/>
      <c r="J66" s="20"/>
      <c r="L66" s="20"/>
      <c r="N66" s="20"/>
      <c r="P66" s="20"/>
      <c r="R66" s="20"/>
      <c r="T66" s="20"/>
      <c r="V66" s="20"/>
      <c r="X66" s="20"/>
      <c r="Z66" s="20"/>
      <c r="AA66" s="29"/>
      <c r="AB66" s="20"/>
      <c r="AD66" s="20"/>
      <c r="AF66" s="20"/>
      <c r="AH66" s="20"/>
      <c r="AJ66" s="20"/>
      <c r="AL66" s="20"/>
      <c r="AM66" s="31"/>
      <c r="AO66" s="20"/>
      <c r="AQ66" s="20"/>
      <c r="AS66" s="20"/>
      <c r="AU66" s="20"/>
      <c r="AW66" s="20"/>
      <c r="AY66" s="20"/>
      <c r="BA66" s="20"/>
      <c r="BB66" s="84"/>
      <c r="BC66" s="20"/>
    </row>
    <row r="67" spans="1:55" s="13" customFormat="1" ht="37" customHeight="1" x14ac:dyDescent="0.15">
      <c r="A67" s="3" t="s">
        <v>130</v>
      </c>
      <c r="B67" s="3"/>
      <c r="C67" s="12"/>
      <c r="D67" s="30"/>
      <c r="E67" s="12"/>
      <c r="F67" s="30"/>
      <c r="G67" s="12"/>
      <c r="H67" s="30"/>
      <c r="I67" s="12"/>
      <c r="J67" s="30"/>
      <c r="K67" s="12"/>
      <c r="L67" s="30"/>
      <c r="M67" s="12"/>
      <c r="N67" s="30"/>
      <c r="O67" s="12"/>
      <c r="P67" s="30"/>
      <c r="Q67" s="12"/>
      <c r="R67" s="30"/>
      <c r="S67" s="12"/>
      <c r="T67" s="30"/>
      <c r="U67" s="12"/>
      <c r="V67" s="30"/>
      <c r="W67" s="12"/>
      <c r="X67" s="30"/>
      <c r="Y67" s="12"/>
      <c r="Z67" s="30"/>
      <c r="AA67" s="29"/>
      <c r="AB67" s="30">
        <f>AA67/$AA$19</f>
        <v>0</v>
      </c>
      <c r="AC67" s="12"/>
      <c r="AD67" s="30">
        <f>AC67/AC$19</f>
        <v>0</v>
      </c>
      <c r="AE67" s="12"/>
      <c r="AF67" s="30">
        <f>AE67/AE$19</f>
        <v>0</v>
      </c>
      <c r="AG67" s="12"/>
      <c r="AH67" s="30">
        <f>AG67/AG$19</f>
        <v>0</v>
      </c>
      <c r="AI67" s="12"/>
      <c r="AJ67" s="30">
        <f>AI67/AI$19</f>
        <v>0</v>
      </c>
      <c r="AK67" s="12"/>
      <c r="AL67" s="30">
        <f>AK67/AK$19</f>
        <v>0</v>
      </c>
      <c r="AM67" s="31"/>
      <c r="AN67" s="12"/>
      <c r="AO67" s="30">
        <f>AN67/AN$19</f>
        <v>0</v>
      </c>
      <c r="AP67" s="12"/>
      <c r="AQ67" s="30">
        <f>AP67/AP$19</f>
        <v>0</v>
      </c>
      <c r="AR67" s="12"/>
      <c r="AS67" s="30">
        <f>AR67/AR$19</f>
        <v>0</v>
      </c>
      <c r="AT67" s="12"/>
      <c r="AU67" s="30">
        <f>AT67/AT$19</f>
        <v>0</v>
      </c>
      <c r="AV67" s="12"/>
      <c r="AW67" s="30">
        <f>AV67/AV$19</f>
        <v>0</v>
      </c>
      <c r="AX67" s="12"/>
      <c r="AY67" s="30">
        <f>AX67/AX$19</f>
        <v>0</v>
      </c>
      <c r="AZ67" s="12"/>
      <c r="BA67" s="30">
        <f>AZ67/AZ$19</f>
        <v>0</v>
      </c>
      <c r="BB67" s="84">
        <f t="shared" si="2"/>
        <v>0</v>
      </c>
      <c r="BC67" s="30">
        <f>BB67/BB$19</f>
        <v>0</v>
      </c>
    </row>
    <row r="68" spans="1:55" s="16" customFormat="1" ht="11" x14ac:dyDescent="0.15">
      <c r="A68" s="36" t="s">
        <v>24</v>
      </c>
      <c r="C68" s="33">
        <f>C31+C42+C54+C65+C67</f>
        <v>535352.96246690664</v>
      </c>
      <c r="D68" s="30">
        <f t="shared" si="86"/>
        <v>0.63735723981409431</v>
      </c>
      <c r="E68" s="33">
        <f>E31+E42+E54+E65+E67</f>
        <v>561395.13134215993</v>
      </c>
      <c r="F68" s="30">
        <f t="shared" si="87"/>
        <v>0.63500753308669244</v>
      </c>
      <c r="G68" s="33">
        <f>G31+G42+G54+G65+G67</f>
        <v>577235.13134215993</v>
      </c>
      <c r="H68" s="30">
        <f t="shared" si="88"/>
        <v>0.6349688253061837</v>
      </c>
      <c r="I68" s="33">
        <f>I31+I42+I54+I65+I67</f>
        <v>463594.82009121997</v>
      </c>
      <c r="J68" s="30">
        <f t="shared" si="89"/>
        <v>0.63051108259600586</v>
      </c>
      <c r="K68" s="33">
        <f>K31+K42+K54+K65+K67</f>
        <v>485590.22502222005</v>
      </c>
      <c r="L68" s="30">
        <f t="shared" si="90"/>
        <v>0.62357461817230064</v>
      </c>
      <c r="M68" s="33">
        <f>M31+M42+M54+M65+M67</f>
        <v>485590.22502222005</v>
      </c>
      <c r="N68" s="30">
        <f t="shared" si="91"/>
        <v>0.62357461817230064</v>
      </c>
      <c r="O68" s="33">
        <f>O31+O42+O54+O65+O67</f>
        <v>485590.22502222005</v>
      </c>
      <c r="P68" s="30">
        <f t="shared" si="92"/>
        <v>0.62357461817230064</v>
      </c>
      <c r="Q68" s="33">
        <f>Q31+Q42+Q54+Q65+Q67</f>
        <v>476868.55745950004</v>
      </c>
      <c r="R68" s="30">
        <f t="shared" si="93"/>
        <v>0.61237461817230066</v>
      </c>
      <c r="S68" s="33">
        <f>S31+S42+S54+S65+S67</f>
        <v>498377.2999344999</v>
      </c>
      <c r="T68" s="30">
        <f t="shared" si="94"/>
        <v>0.6061713413744807</v>
      </c>
      <c r="U68" s="33">
        <f>U31+U42+U54+U65+U67</f>
        <v>497877.2999344999</v>
      </c>
      <c r="V68" s="30">
        <f t="shared" si="95"/>
        <v>0.60556319635919398</v>
      </c>
      <c r="W68" s="33">
        <f>W31+W42+W54+W65+W67</f>
        <v>489728.34867856</v>
      </c>
      <c r="X68" s="30">
        <f t="shared" si="96"/>
        <v>0.58031676781722485</v>
      </c>
      <c r="Y68" s="33">
        <f>Y31+Y42+Y54+Y65+Y67</f>
        <v>490090.34867856</v>
      </c>
      <c r="Z68" s="30">
        <f t="shared" si="97"/>
        <v>0.58074572944568004</v>
      </c>
      <c r="AA68" s="33">
        <f>AA31+AA42+AA54+AA65+AA67</f>
        <v>6047297.3879891839</v>
      </c>
      <c r="AB68" s="30">
        <f>AA68/$AA$19</f>
        <v>0.61610285334339732</v>
      </c>
      <c r="AC68" s="33">
        <f>AC31+AC42+AC54+AC65+AC67</f>
        <v>603610.61777495989</v>
      </c>
      <c r="AD68" s="30">
        <f t="shared" si="100"/>
        <v>0.66443940476126784</v>
      </c>
      <c r="AE68" s="33">
        <f>AE31+AE42+AE54+AE65+AE67</f>
        <v>617381.71303463995</v>
      </c>
      <c r="AF68" s="30">
        <f t="shared" si="101"/>
        <v>0.66353903002810044</v>
      </c>
      <c r="AG68" s="33">
        <f>AG31+AG42+AG54+AG65+AG67</f>
        <v>617019.71303463995</v>
      </c>
      <c r="AH68" s="30">
        <f t="shared" si="102"/>
        <v>0.66314996581742025</v>
      </c>
      <c r="AI68" s="33">
        <f>AI31+AI42+AI54+AI65+AI67</f>
        <v>491827.93794663996</v>
      </c>
      <c r="AJ68" s="30">
        <f t="shared" si="103"/>
        <v>0.67322186259411765</v>
      </c>
      <c r="AK68" s="33">
        <f>AK31+AK42+AK54+AK65+AK67</f>
        <v>523125.88171863998</v>
      </c>
      <c r="AL68" s="30">
        <f>AK68/$AK$19</f>
        <v>0.67022028260080613</v>
      </c>
      <c r="AM68" s="34">
        <v>0.35115184160646279</v>
      </c>
      <c r="AN68" s="33">
        <f>AN31+AN42+AN54+AN65+AN67</f>
        <v>522125.8831998611</v>
      </c>
      <c r="AO68" s="30">
        <f>AN68/$AN$19</f>
        <v>0.6689391009325345</v>
      </c>
      <c r="AP68" s="33">
        <f>AP31+AP42+AP54+AP65+AP67</f>
        <v>522125.88357796479</v>
      </c>
      <c r="AQ68" s="30">
        <f>AP68/$AP$19</f>
        <v>0.66893910141695467</v>
      </c>
      <c r="AR68" s="33">
        <f>AR31+AR42+AR54+AR65+AR67</f>
        <v>522125.88309460861</v>
      </c>
      <c r="AS68" s="30">
        <f>AR68/$AR$19</f>
        <v>0.6689391007976867</v>
      </c>
      <c r="AT68" s="33">
        <f>AT31+AT42+AT54+AT65+AT67</f>
        <v>553423.82683409366</v>
      </c>
      <c r="AU68" s="30">
        <f>AT68/$AT$19</f>
        <v>0.66637580847820499</v>
      </c>
      <c r="AV68" s="33">
        <f>AV31+AV42+AV54+AV65+AV67</f>
        <v>553423.82656540291</v>
      </c>
      <c r="AW68" s="30">
        <f>AV68/$AV$19</f>
        <v>0.66637580815467534</v>
      </c>
      <c r="AX68" s="33">
        <f>AX31+AX42+AX54+AX65+AX67</f>
        <v>569072.7987454558</v>
      </c>
      <c r="AY68" s="30">
        <f>AX68/$AX$19</f>
        <v>0.6652064561311104</v>
      </c>
      <c r="AZ68" s="33">
        <f>AZ31+AZ42+AZ54+AZ65+AZ67</f>
        <v>569072.79865782359</v>
      </c>
      <c r="BA68" s="30">
        <f>AZ68/$AZ$19</f>
        <v>0.66520645602867445</v>
      </c>
      <c r="BB68" s="86">
        <f t="shared" si="2"/>
        <v>6664345.1198889492</v>
      </c>
      <c r="BC68" s="30">
        <f>BB68/$BB$19</f>
        <v>0.66683641429579121</v>
      </c>
    </row>
    <row r="69" spans="1:55" x14ac:dyDescent="0.15">
      <c r="C69" s="38"/>
      <c r="D69" s="30"/>
      <c r="E69" s="38"/>
      <c r="F69" s="30"/>
      <c r="G69" s="38"/>
      <c r="H69" s="30"/>
      <c r="I69" s="38"/>
      <c r="J69" s="30"/>
      <c r="K69" s="39"/>
      <c r="L69" s="30"/>
      <c r="M69" s="39"/>
      <c r="N69" s="30"/>
      <c r="O69" s="39"/>
      <c r="P69" s="30"/>
      <c r="Q69" s="39"/>
      <c r="R69" s="30"/>
      <c r="S69" s="39"/>
      <c r="T69" s="30"/>
      <c r="U69" s="39"/>
      <c r="V69" s="30"/>
      <c r="W69" s="39"/>
      <c r="X69" s="30"/>
      <c r="Y69" s="39"/>
      <c r="Z69" s="30"/>
      <c r="AA69" s="40"/>
      <c r="AB69" s="30"/>
      <c r="AC69" s="39"/>
      <c r="AD69" s="30"/>
      <c r="AE69" s="39"/>
      <c r="AF69" s="30"/>
      <c r="AH69" s="30"/>
      <c r="AJ69" s="30"/>
      <c r="AL69" s="30"/>
      <c r="AO69" s="30"/>
      <c r="AQ69" s="30"/>
      <c r="AS69" s="30"/>
      <c r="AU69" s="30"/>
      <c r="AW69" s="30"/>
      <c r="AY69" s="30"/>
      <c r="BA69" s="30"/>
      <c r="BB69" s="84">
        <f t="shared" si="2"/>
        <v>0</v>
      </c>
      <c r="BC69" s="30"/>
    </row>
    <row r="70" spans="1:55" ht="14" thickBot="1" x14ac:dyDescent="0.2">
      <c r="A70" s="23" t="s">
        <v>55</v>
      </c>
      <c r="C70" s="41">
        <f>C19-C24-C31-C42-C54-C65-C67</f>
        <v>113679.58283309327</v>
      </c>
      <c r="D70" s="30">
        <f>C70/$C$19</f>
        <v>0.1353396921609393</v>
      </c>
      <c r="E70" s="41">
        <f>E19-E24-E31-E42-E54-E65-E67</f>
        <v>127135.45135783998</v>
      </c>
      <c r="F70" s="30">
        <f>E70/$E$19</f>
        <v>0.14380596629257283</v>
      </c>
      <c r="G70" s="41">
        <f>G19-G24-G31-G42-G54-G65-G67</f>
        <v>136295.45135783998</v>
      </c>
      <c r="H70" s="30">
        <f>G70/$G$19</f>
        <v>0.14992740036809127</v>
      </c>
      <c r="I70" s="41">
        <f>I19-I24-I31-I42-I54-I65-I67</f>
        <v>118135.42260878001</v>
      </c>
      <c r="J70" s="30">
        <f>I70/$I$19</f>
        <v>0.16066981332393288</v>
      </c>
      <c r="K70" s="41">
        <f>K19-K24-K31-K42-K54-K65-K67</f>
        <v>129090.10267777997</v>
      </c>
      <c r="L70" s="30">
        <f>K70/$K$19</f>
        <v>0.16577210030007558</v>
      </c>
      <c r="M70" s="41">
        <f>M19-M24-M31-M42-M54-M65-M67</f>
        <v>129090.10267777997</v>
      </c>
      <c r="N70" s="30">
        <f>M70/$M$19</f>
        <v>0.16577210030007558</v>
      </c>
      <c r="O70" s="41">
        <f>O19-O24-O31-O42-O54-O65-O67</f>
        <v>129090.10267777997</v>
      </c>
      <c r="P70" s="30">
        <f>O70/$O$19</f>
        <v>0.16577210030007558</v>
      </c>
      <c r="Q70" s="41">
        <f>Q19-Q24-Q31-Q42-Q54-Q65-Q67</f>
        <v>137811.77024049999</v>
      </c>
      <c r="R70" s="30">
        <f>Q70/$Q$19</f>
        <v>0.1769721003000756</v>
      </c>
      <c r="S70" s="41">
        <f>S19-S24-S31-S42-S54-S65-S67</f>
        <v>149253.11276550003</v>
      </c>
      <c r="T70" s="30">
        <f>S70/$S$19</f>
        <v>0.18153507308874289</v>
      </c>
      <c r="U70" s="41">
        <f>U19-U24-U31-U42-U54-U65-U67</f>
        <v>149753.11276550003</v>
      </c>
      <c r="V70" s="30">
        <f>U70/$U$19</f>
        <v>0.18214321810402967</v>
      </c>
      <c r="W70" s="41">
        <f>W19-W24-W31-W42-W54-W65-W67</f>
        <v>174377.10652143997</v>
      </c>
      <c r="X70" s="30">
        <f>W70/$W$19</f>
        <v>0.20663283861531573</v>
      </c>
      <c r="Y70" s="41">
        <f>Y19-Y24-Y31-Y42-Y54-Y65-Y67</f>
        <v>174015.10652143997</v>
      </c>
      <c r="Z70" s="30">
        <f>Y70/$Y$19</f>
        <v>0.20620387698686052</v>
      </c>
      <c r="AA70" s="41">
        <f>AA19-AA24-AA31-AA42-AA54-AA65-AA67</f>
        <v>1667718.5987012354</v>
      </c>
      <c r="AB70" s="30">
        <f>AA70/$AA$19</f>
        <v>0.16990832785475724</v>
      </c>
      <c r="AC70" s="41">
        <f>AC19-AC24-AC31-AC42-AC54-AC65-AC67</f>
        <v>91162.443425039935</v>
      </c>
      <c r="AD70" s="30">
        <f>AC70/$AC$19</f>
        <v>0.10034932763309826</v>
      </c>
      <c r="AE70" s="41">
        <f>AE19-AE24-AE31-AE42-AE54-AE65-AE67</f>
        <v>94206.537765360103</v>
      </c>
      <c r="AF70" s="30">
        <f>AE70/$AE$19</f>
        <v>0.10124970236626586</v>
      </c>
      <c r="AG70" s="41">
        <f>AG19-AG24-AG31-AG42-AG54-AG65-AG67</f>
        <v>94568.537765360103</v>
      </c>
      <c r="AH70" s="30">
        <f>AG70/$AG$19</f>
        <v>0.101638766576946</v>
      </c>
      <c r="AI70" s="41">
        <f>AI19-AI24-AI31-AI42-AI54-AI65-AI67</f>
        <v>66894.952853359995</v>
      </c>
      <c r="AJ70" s="30">
        <f>AI70/$AI$19</f>
        <v>9.1566869800248543E-2</v>
      </c>
      <c r="AK70" s="41">
        <f>AK19-AK24-AK31-AK42-AK54-AK65-AK67</f>
        <v>73813.349081360022</v>
      </c>
      <c r="AL70" s="30">
        <f>AK70/$AK$19</f>
        <v>9.4568449793560105E-2</v>
      </c>
      <c r="AM70" s="21">
        <v>0.35908464505041371</v>
      </c>
      <c r="AN70" s="41">
        <f>AN19-AN24-AN31-AN42-AN54-AN65-AN67</f>
        <v>74813.347600138935</v>
      </c>
      <c r="AO70" s="30">
        <f>AN70/$AN$19</f>
        <v>9.58496314618318E-2</v>
      </c>
      <c r="AP70" s="41">
        <f>AP19-AP24-AP31-AP42-AP54-AP65-AP67</f>
        <v>74813.347222035241</v>
      </c>
      <c r="AQ70" s="30">
        <f>AP70/$AP$19</f>
        <v>9.5849630977411573E-2</v>
      </c>
      <c r="AR70" s="41">
        <f>AR19-AR24-AR31-AR42-AR54-AR65-AR67</f>
        <v>74813.347705391425</v>
      </c>
      <c r="AS70" s="30">
        <f>AR70/$AR$19</f>
        <v>9.5849631596679571E-2</v>
      </c>
      <c r="AT70" s="41">
        <f>AT19-AT24-AT31-AT42-AT54-AT65-AT67</f>
        <v>81731.743965906178</v>
      </c>
      <c r="AU70" s="30">
        <f>AT70/$AT$19</f>
        <v>9.8412923916161119E-2</v>
      </c>
      <c r="AV70" s="41">
        <f>AV19-AV24-AV31-AV42-AV54-AV65-AV67</f>
        <v>81731.744234596932</v>
      </c>
      <c r="AW70" s="30">
        <f>AV70/$AV$19</f>
        <v>9.8412924239690766E-2</v>
      </c>
      <c r="AX70" s="41">
        <f>AX19-AX24-AX31-AX42-AX54-AX65-AX67</f>
        <v>85190.942054544212</v>
      </c>
      <c r="AY70" s="30">
        <f>AX70/$AX$19</f>
        <v>9.9582276263255776E-2</v>
      </c>
      <c r="AZ70" s="41">
        <f>AZ19-AZ24-AZ31-AZ42-AZ54-AZ65-AZ67</f>
        <v>85190.942142176456</v>
      </c>
      <c r="BA70" s="30">
        <f>AZ70/$AZ$19</f>
        <v>9.9582276365691766E-2</v>
      </c>
      <c r="BB70" s="87">
        <f t="shared" si="2"/>
        <v>978932.76781232574</v>
      </c>
      <c r="BC70" s="30">
        <f>BB70/$BB$19</f>
        <v>9.7952312640060768E-2</v>
      </c>
    </row>
    <row r="71" spans="1:55" ht="14" thickTop="1" x14ac:dyDescent="0.15">
      <c r="C71" s="42"/>
      <c r="E71" s="42"/>
      <c r="G71" s="42"/>
      <c r="I71" s="42"/>
    </row>
    <row r="72" spans="1:55" x14ac:dyDescent="0.15">
      <c r="C72" s="42"/>
      <c r="E72" s="42"/>
      <c r="G72" s="42"/>
      <c r="I72" s="42"/>
      <c r="K72" s="42"/>
      <c r="M72" s="42"/>
      <c r="O72" s="42"/>
      <c r="Q72" s="42"/>
      <c r="S72" s="42"/>
      <c r="U72" s="42"/>
      <c r="W72" s="42"/>
      <c r="Y72" s="42"/>
      <c r="AA72" s="42"/>
      <c r="AC72" s="42"/>
      <c r="AE72" s="42"/>
      <c r="AG72" s="42"/>
      <c r="AI72" s="42"/>
      <c r="AK72" s="42"/>
      <c r="AN72" s="42"/>
      <c r="AP72" s="42"/>
      <c r="AR72" s="42"/>
      <c r="AT72" s="42"/>
      <c r="AV72" s="42"/>
      <c r="AX72" s="42"/>
      <c r="AZ72" s="42"/>
    </row>
    <row r="73" spans="1:55" x14ac:dyDescent="0.15">
      <c r="C73" s="42"/>
      <c r="E73" s="42"/>
      <c r="G73" s="42"/>
      <c r="I73" s="42"/>
    </row>
    <row r="74" spans="1:55" x14ac:dyDescent="0.15">
      <c r="C74" s="42"/>
      <c r="E74" s="42"/>
      <c r="G74" s="42"/>
      <c r="I74" s="42"/>
    </row>
    <row r="75" spans="1:55" x14ac:dyDescent="0.15">
      <c r="C75" s="42"/>
      <c r="E75" s="42"/>
      <c r="G75" s="42"/>
      <c r="I75" s="42"/>
    </row>
    <row r="76" spans="1:55" x14ac:dyDescent="0.15">
      <c r="C76" s="42"/>
      <c r="E76" s="42"/>
      <c r="G76" s="42"/>
      <c r="I76" s="42"/>
    </row>
    <row r="77" spans="1:55" x14ac:dyDescent="0.15">
      <c r="C77" s="42"/>
      <c r="E77" s="42"/>
      <c r="G77" s="42"/>
      <c r="I77" s="42"/>
    </row>
    <row r="78" spans="1:55" x14ac:dyDescent="0.15">
      <c r="C78" s="42"/>
      <c r="E78" s="42"/>
      <c r="G78" s="42"/>
      <c r="I78" s="42"/>
    </row>
    <row r="79" spans="1:55" x14ac:dyDescent="0.15">
      <c r="C79" s="42"/>
      <c r="E79" s="42"/>
      <c r="G79" s="42"/>
      <c r="I79" s="42"/>
    </row>
    <row r="80" spans="1:55" x14ac:dyDescent="0.15">
      <c r="C80" s="42"/>
      <c r="E80" s="42"/>
      <c r="G80" s="42"/>
      <c r="I80" s="42"/>
    </row>
    <row r="81" spans="3:9" x14ac:dyDescent="0.15">
      <c r="C81" s="42"/>
      <c r="E81" s="42"/>
      <c r="G81" s="42"/>
      <c r="I81" s="42"/>
    </row>
    <row r="82" spans="3:9" x14ac:dyDescent="0.15">
      <c r="C82" s="42"/>
    </row>
    <row r="83" spans="3:9" x14ac:dyDescent="0.15">
      <c r="C83" s="42"/>
    </row>
    <row r="84" spans="3:9" x14ac:dyDescent="0.15">
      <c r="C84" s="42"/>
    </row>
    <row r="85" spans="3:9" x14ac:dyDescent="0.15">
      <c r="C85" s="42"/>
    </row>
    <row r="86" spans="3:9" x14ac:dyDescent="0.15">
      <c r="C86" s="42"/>
    </row>
    <row r="87" spans="3:9" x14ac:dyDescent="0.15">
      <c r="C87" s="42"/>
    </row>
    <row r="88" spans="3:9" x14ac:dyDescent="0.15">
      <c r="C88" s="42"/>
    </row>
    <row r="89" spans="3:9" x14ac:dyDescent="0.15">
      <c r="C89" s="42"/>
    </row>
    <row r="90" spans="3:9" x14ac:dyDescent="0.15">
      <c r="C90" s="42"/>
    </row>
  </sheetData>
  <printOptions horizontalCentered="1"/>
  <pageMargins left="0.25" right="0.25" top="0.75" bottom="0.75" header="0.3" footer="0.3"/>
  <pageSetup scale="34" orientation="portrait" r:id="rId1"/>
  <headerFooter alignWithMargins="0">
    <oddFooter>&amp;C&amp;8This Pro Forma is the property of the Preparers aforementioned and the information contained herein is to be kept CONFIDENTIAL by the parties to whom it is given for purposes of a business discussion.</oddFooter>
  </headerFooter>
  <ignoredErrors>
    <ignoredError sqref="AC11:AD11 AF11 AH11 AJ11 AC19:BB38 AA7:BC10 AC39:AD39 AF39:AH39 AJ39 D47:BB49 AL39:AM39 AO39 AQ39 AS39 AU39 AW39 AY39 BA39:BB39 AC40:BB43 AA20:AB44 D20:Z22 D46 AA46:BB46 X46 D64:BB66 D56 F56 H56 J56 L56 N56 P56 R56 T56 V56 X56 Z56:AB56 AD56 AF56 AH56 AJ56 AL56:AM56 AO56 AQ56 AS56 AU56 AW56 AY56 BA56:BB56 D58:BB58 D24:Z27 D23 F23 H23 J23 L23 N23 P23 R23 T23 V23 X23 Z23 D29:Z29 D28 F28 H28 J28 L28 N28 P28 R28 T28 V28 X28 Z28 D68:BB70 AB67:BB67 D34 D33 F33 H33 J33 L33 N33 P33 R33 T33 V33 X33 Z33 D36:Z36 D35 F35 H35 J35 L35 N35 P35 R35 T35 V35 X35 Z35 D42:Z43 D41 F41 H41 J41 L41 N41 P41 R41 T41 V41 X41 Z41 D31:Z32 D30 F30 H30 J30 L30 N30 P30 R30 T30 V30 X30 Z30 D62 F62 H62 J62 L62 N62 P62 R62 T62 V62 X62 Z62:BB62 D7:Z16 AA12:BB16 D19 F19 H19 J19 L19 N19 P19 R19 T19 V19 X19 Z19 AB19 D51:BB52 D50 F50 H50 J50 L50 N50 P50 R50 T50 V50 X50 Z50:BB50 F46 H46 J46 L46 N46 P46 R46 T46 D44 F44 H44 J44 L44 N44 P44 R44 T44 V44 X44 Z44 AD44 AF44 AH44 AJ44 AL44:AM44 AO44 AQ44 AS44 AU44 AW44 AY44 BA44:BB44 D57 F57 H57 J57 L57 N57 P57 R57 T57 V57 X57 Z57:BB57 D54:BB55 D53 F53 H53 J53 L53 N53 P53 R53 T53 V53 X53 Z53:BB53 D60:BB61 D59 F59 H59 J59 L59 N59 P59 R59 T59 V59 X59 Z59:BB59 D38:Z38 D37 F37 H37 J37 L37 N37 P37 R37 T37 V37 X37 Z37 F34 H34 J34 L34 N34 P34 R34 T34 V34 X34 Z34 D40 F40 H40 J40 L40 N40 P40 R40 T40 V40 X40 Z40 D39 F39 H39 J39 L39 N39 P39 R39 T39 V39 X39 Z39"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R70"/>
  <sheetViews>
    <sheetView showGridLines="0" zoomScale="145" zoomScaleNormal="145" zoomScaleSheetLayoutView="100" workbookViewId="0">
      <pane ySplit="1" topLeftCell="A2" activePane="bottomLeft" state="frozenSplit"/>
      <selection sqref="A1:H1"/>
      <selection pane="bottomLeft" activeCell="D36" sqref="D36"/>
    </sheetView>
  </sheetViews>
  <sheetFormatPr baseColWidth="10" defaultColWidth="11.5" defaultRowHeight="13" x14ac:dyDescent="0.15"/>
  <cols>
    <col min="1" max="1" width="22.6640625" customWidth="1"/>
    <col min="2" max="2" width="2.33203125" customWidth="1"/>
    <col min="3" max="3" width="16.83203125" hidden="1" customWidth="1"/>
    <col min="4" max="4" width="13.6640625" bestFit="1" customWidth="1"/>
    <col min="5" max="5" width="6.33203125" style="81" bestFit="1" customWidth="1"/>
    <col min="6" max="6" width="11.83203125" bestFit="1" customWidth="1"/>
    <col min="7" max="7" width="6.33203125" bestFit="1" customWidth="1"/>
    <col min="8" max="8" width="11.1640625" bestFit="1" customWidth="1"/>
    <col min="9" max="9" width="6.33203125" bestFit="1" customWidth="1"/>
    <col min="10" max="10" width="11.1640625" bestFit="1" customWidth="1"/>
    <col min="11" max="11" width="6.33203125" bestFit="1" customWidth="1"/>
    <col min="12" max="12" width="11.1640625" bestFit="1" customWidth="1"/>
    <col min="13" max="13" width="6.33203125" bestFit="1" customWidth="1"/>
  </cols>
  <sheetData>
    <row r="1" spans="1:18" ht="24" x14ac:dyDescent="0.25">
      <c r="A1" s="69" t="s">
        <v>126</v>
      </c>
      <c r="B1" s="69"/>
      <c r="C1" s="69"/>
      <c r="D1" s="69"/>
      <c r="E1" s="76"/>
      <c r="F1" s="69"/>
      <c r="G1" s="69"/>
      <c r="H1" s="69"/>
      <c r="I1" s="69"/>
      <c r="J1" s="69"/>
      <c r="K1" s="69"/>
      <c r="L1" s="69"/>
      <c r="M1" s="69"/>
    </row>
    <row r="2" spans="1:18" ht="16" x14ac:dyDescent="0.2">
      <c r="A2" s="62" t="s">
        <v>0</v>
      </c>
      <c r="B2" s="62"/>
      <c r="C2" s="62"/>
      <c r="D2" s="62"/>
      <c r="E2" s="62"/>
      <c r="F2" s="62"/>
      <c r="G2" s="62"/>
      <c r="H2" s="62"/>
      <c r="I2" s="62"/>
      <c r="J2" s="62"/>
      <c r="K2" s="62"/>
      <c r="L2" s="62"/>
      <c r="M2" s="62"/>
    </row>
    <row r="3" spans="1:18" x14ac:dyDescent="0.15">
      <c r="A3" s="1"/>
      <c r="B3" s="1"/>
      <c r="C3" s="1"/>
      <c r="D3" s="2"/>
      <c r="E3" s="77"/>
      <c r="F3" s="1"/>
      <c r="G3" s="1"/>
      <c r="H3" s="1"/>
      <c r="I3" s="1"/>
      <c r="J3" s="1"/>
      <c r="K3" s="1"/>
      <c r="L3" s="1"/>
      <c r="M3" s="1"/>
    </row>
    <row r="4" spans="1:18" s="6" customFormat="1" ht="14" x14ac:dyDescent="0.15">
      <c r="A4" s="3"/>
      <c r="B4" s="4"/>
      <c r="C4" s="4" t="s">
        <v>1</v>
      </c>
      <c r="D4" s="71" t="s">
        <v>119</v>
      </c>
      <c r="E4" s="78"/>
      <c r="F4" s="5" t="s">
        <v>2</v>
      </c>
      <c r="G4" s="5"/>
      <c r="H4" s="5" t="s">
        <v>3</v>
      </c>
      <c r="I4" s="5"/>
      <c r="J4" s="5" t="s">
        <v>3</v>
      </c>
      <c r="K4" s="5"/>
      <c r="L4" s="5" t="s">
        <v>3</v>
      </c>
      <c r="M4" s="5"/>
    </row>
    <row r="5" spans="1:18" s="8" customFormat="1" ht="11" x14ac:dyDescent="0.15">
      <c r="A5" s="4"/>
      <c r="B5" s="4"/>
      <c r="C5" s="4"/>
      <c r="D5" s="7"/>
      <c r="E5" s="79"/>
    </row>
    <row r="6" spans="1:18" s="8" customFormat="1" ht="11" x14ac:dyDescent="0.15">
      <c r="A6" s="27" t="str">
        <f>'Monthly Summary'!A6</f>
        <v>REVENUE</v>
      </c>
      <c r="B6" s="27"/>
      <c r="C6" s="27">
        <f>'Monthly Summary'!C6</f>
        <v>9.0899999999999995E-2</v>
      </c>
      <c r="D6" s="27"/>
      <c r="E6" s="80"/>
      <c r="F6" s="11"/>
      <c r="G6" s="64"/>
      <c r="H6" s="12"/>
      <c r="I6" s="64"/>
      <c r="J6" s="12"/>
      <c r="K6" s="64"/>
      <c r="L6" s="12"/>
      <c r="M6" s="64"/>
      <c r="R6" s="8" t="s">
        <v>121</v>
      </c>
    </row>
    <row r="7" spans="1:18" s="13" customFormat="1" ht="11" x14ac:dyDescent="0.15">
      <c r="A7" s="3" t="str">
        <f>'Monthly Summary'!A7</f>
        <v>Brunch Food</v>
      </c>
      <c r="B7" s="3"/>
      <c r="C7" s="9">
        <v>101797.84999999999</v>
      </c>
      <c r="D7" s="10">
        <f>'Monthly Summary'!AA7</f>
        <v>612000</v>
      </c>
      <c r="E7" s="80">
        <f>'Monthly Summary'!AB7</f>
        <v>6.2350984589420948E-2</v>
      </c>
      <c r="F7" s="11">
        <f>(D7*15%)+D7</f>
        <v>703800</v>
      </c>
      <c r="G7" s="64">
        <f>F7/F$19</f>
        <v>6.2350947400366896E-2</v>
      </c>
      <c r="H7" s="11">
        <f>(F7*7%)+F7</f>
        <v>753066</v>
      </c>
      <c r="I7" s="64">
        <f>H7/H$19</f>
        <v>6.2350990941783167E-2</v>
      </c>
      <c r="J7" s="11">
        <f>(H7*7%)+H7</f>
        <v>805780.62</v>
      </c>
      <c r="K7" s="64">
        <f>J7/J$19</f>
        <v>6.2350990941783167E-2</v>
      </c>
      <c r="L7" s="11">
        <f>(J7*7%)+J7</f>
        <v>862185.26340000005</v>
      </c>
      <c r="M7" s="64">
        <f>L7/L$19</f>
        <v>6.2350990941783174E-2</v>
      </c>
    </row>
    <row r="8" spans="1:18" s="13" customFormat="1" ht="11" x14ac:dyDescent="0.15">
      <c r="A8" s="3" t="str">
        <f>'Monthly Summary'!A8</f>
        <v>Dinner Food</v>
      </c>
      <c r="B8" s="3"/>
      <c r="C8" s="9">
        <v>20000</v>
      </c>
      <c r="D8" s="10">
        <f>'Monthly Summary'!AA8</f>
        <v>2448000</v>
      </c>
      <c r="E8" s="80">
        <f>'Monthly Summary'!AB8</f>
        <v>0.24940393835768379</v>
      </c>
      <c r="F8" s="11">
        <f>(D8*15%)+D8</f>
        <v>2815200</v>
      </c>
      <c r="G8" s="64">
        <f>F8/F$19</f>
        <v>0.24940378960146758</v>
      </c>
      <c r="H8" s="11">
        <f>(F8*7%)+F8</f>
        <v>3012264</v>
      </c>
      <c r="I8" s="64">
        <f>H8/H$19</f>
        <v>0.24940396376713267</v>
      </c>
      <c r="J8" s="11">
        <f>(H8*7%)+H8</f>
        <v>3223122.48</v>
      </c>
      <c r="K8" s="64">
        <f>J8/J$19</f>
        <v>0.24940396376713267</v>
      </c>
      <c r="L8" s="11">
        <f>(J8*7%)+J8</f>
        <v>3448741.0536000002</v>
      </c>
      <c r="M8" s="64">
        <f>L8/L$19</f>
        <v>0.2494039637671327</v>
      </c>
    </row>
    <row r="9" spans="1:18" s="13" customFormat="1" ht="11" hidden="1" x14ac:dyDescent="0.15">
      <c r="A9" s="3" t="str">
        <f>'Monthly Summary'!A9</f>
        <v>Bar Sales Food</v>
      </c>
      <c r="B9" s="3"/>
      <c r="C9" s="9">
        <v>153990</v>
      </c>
      <c r="D9" s="10">
        <f>'Monthly Summary'!AA9</f>
        <v>0</v>
      </c>
      <c r="E9" s="80"/>
      <c r="F9" s="11">
        <f>(D9*15%)+D9</f>
        <v>0</v>
      </c>
      <c r="G9" s="64">
        <f>F9/F$19</f>
        <v>0</v>
      </c>
      <c r="H9" s="11">
        <f>(F9*7%)+F9</f>
        <v>0</v>
      </c>
      <c r="I9" s="64">
        <f>H9/H$19</f>
        <v>0</v>
      </c>
      <c r="J9" s="11">
        <f>(H9*7%)+H9</f>
        <v>0</v>
      </c>
      <c r="K9" s="64">
        <f>J9/J$19</f>
        <v>0</v>
      </c>
      <c r="L9" s="11">
        <f>(J9*7%)+J9</f>
        <v>0</v>
      </c>
      <c r="M9" s="64">
        <f>L9/L$19</f>
        <v>0</v>
      </c>
    </row>
    <row r="10" spans="1:18" s="13" customFormat="1" ht="11" x14ac:dyDescent="0.15">
      <c r="A10" s="3" t="str">
        <f>'Monthly Summary'!A10</f>
        <v>Total Food Sales</v>
      </c>
      <c r="B10" s="3"/>
      <c r="C10" s="9"/>
      <c r="D10" s="10">
        <f>'Monthly Summary'!AA10</f>
        <v>3060001</v>
      </c>
      <c r="E10" s="80">
        <f>'Monthly Summary'!AB10</f>
        <v>0.31175502482779849</v>
      </c>
      <c r="F10" s="11">
        <f>SUM(F7:F9)</f>
        <v>3519000</v>
      </c>
      <c r="G10" s="64">
        <f>F10/F$19</f>
        <v>0.31175473700183448</v>
      </c>
      <c r="H10" s="11">
        <f>SUM(H7:H9)</f>
        <v>3765330</v>
      </c>
      <c r="I10" s="64">
        <f>H10/H$19</f>
        <v>0.31175495470891584</v>
      </c>
      <c r="J10" s="11">
        <f>SUM(J7:J9)</f>
        <v>4028903.1</v>
      </c>
      <c r="K10" s="64">
        <f>J10/J$19</f>
        <v>0.31175495470891584</v>
      </c>
      <c r="L10" s="11">
        <f>SUM(L7:L9)</f>
        <v>4310926.3169999998</v>
      </c>
      <c r="M10" s="64">
        <f>L10/L$19</f>
        <v>0.31175495470891584</v>
      </c>
    </row>
    <row r="11" spans="1:18" s="13" customFormat="1" ht="11" x14ac:dyDescent="0.15">
      <c r="A11" s="3"/>
      <c r="B11" s="3"/>
      <c r="C11" s="9"/>
      <c r="D11" s="10"/>
      <c r="E11" s="80"/>
      <c r="F11" s="11"/>
      <c r="G11" s="64"/>
      <c r="H11" s="11"/>
      <c r="I11" s="64"/>
      <c r="J11" s="11"/>
      <c r="K11" s="64"/>
      <c r="L11" s="11"/>
      <c r="M11" s="64"/>
    </row>
    <row r="12" spans="1:18" s="13" customFormat="1" ht="11" x14ac:dyDescent="0.15">
      <c r="A12" s="3" t="str">
        <f>'Monthly Summary'!A12</f>
        <v>Liquor Sales</v>
      </c>
      <c r="B12" s="3"/>
      <c r="C12" s="9">
        <v>82736.354999999996</v>
      </c>
      <c r="D12" s="10">
        <f>'Monthly Summary'!AA12</f>
        <v>2533680</v>
      </c>
      <c r="E12" s="80">
        <f>'Monthly Summary'!AB12</f>
        <v>0.2581330762002027</v>
      </c>
      <c r="F12" s="11">
        <f>(D12*15%)+D12</f>
        <v>2913732</v>
      </c>
      <c r="G12" s="64">
        <f>F12/F$19</f>
        <v>0.25813292223751894</v>
      </c>
      <c r="H12" s="11">
        <f>(F12*7%)+F12</f>
        <v>3117693.24</v>
      </c>
      <c r="I12" s="64">
        <f>H12/H$19</f>
        <v>0.25813310249898236</v>
      </c>
      <c r="J12" s="11">
        <f>(H12*7%)+H12</f>
        <v>3335931.7668000003</v>
      </c>
      <c r="K12" s="64">
        <f>J12/J$19</f>
        <v>0.25813310249898236</v>
      </c>
      <c r="L12" s="11">
        <f>(J12*7%)+J12</f>
        <v>3569446.9904760006</v>
      </c>
      <c r="M12" s="64">
        <f>L12/L$19</f>
        <v>0.25813310249898236</v>
      </c>
    </row>
    <row r="13" spans="1:18" s="16" customFormat="1" ht="11" x14ac:dyDescent="0.15">
      <c r="A13" s="3" t="str">
        <f>'Monthly Summary'!A13</f>
        <v>Wine Sales</v>
      </c>
      <c r="B13" s="14"/>
      <c r="C13" s="15">
        <v>55258.130333333342</v>
      </c>
      <c r="D13" s="10">
        <f>'Monthly Summary'!AA13</f>
        <v>1970639.9999999998</v>
      </c>
      <c r="E13" s="80">
        <f>'Monthly Summary'!AB13</f>
        <v>0.20077017037793543</v>
      </c>
      <c r="F13" s="11">
        <f>(D13*15%)+D13</f>
        <v>2266235.9999999995</v>
      </c>
      <c r="G13" s="64">
        <f>F13/F$19</f>
        <v>0.20077005062918135</v>
      </c>
      <c r="H13" s="11">
        <f>(F13*7%)+F13</f>
        <v>2424872.5199999996</v>
      </c>
      <c r="I13" s="64">
        <f>H13/H$19</f>
        <v>0.20077019083254177</v>
      </c>
      <c r="J13" s="11">
        <f>(H13*7%)+H13</f>
        <v>2594613.5963999997</v>
      </c>
      <c r="K13" s="64">
        <f>J13/J$19</f>
        <v>0.20077019083254177</v>
      </c>
      <c r="L13" s="11">
        <f>(J13*7%)+J13</f>
        <v>2776236.5481479997</v>
      </c>
      <c r="M13" s="64">
        <f>L13/L$19</f>
        <v>0.20077019083254177</v>
      </c>
    </row>
    <row r="14" spans="1:18" s="13" customFormat="1" ht="11" x14ac:dyDescent="0.15">
      <c r="A14" s="3" t="str">
        <f>'Monthly Summary'!A14</f>
        <v>Beer Sales</v>
      </c>
      <c r="B14" s="3"/>
      <c r="C14" s="9"/>
      <c r="D14" s="10">
        <f>'Monthly Summary'!AA14</f>
        <v>844560</v>
      </c>
      <c r="E14" s="80">
        <f>'Monthly Summary'!AB14</f>
        <v>8.6044358733400911E-2</v>
      </c>
      <c r="F14" s="11">
        <f>(D14*15%)+D14</f>
        <v>971244</v>
      </c>
      <c r="G14" s="64">
        <f>F14/F$19</f>
        <v>8.6044307412506321E-2</v>
      </c>
      <c r="H14" s="11">
        <f>(F14*7%)+F14</f>
        <v>1039231.08</v>
      </c>
      <c r="I14" s="64">
        <f>H14/H$19</f>
        <v>8.6044367499660768E-2</v>
      </c>
      <c r="J14" s="11">
        <f>(H14*7%)+H14</f>
        <v>1111977.2556</v>
      </c>
      <c r="K14" s="64">
        <f>J14/J$19</f>
        <v>8.6044367499660782E-2</v>
      </c>
      <c r="L14" s="11">
        <f>(J14*7%)+J14</f>
        <v>1189815.663492</v>
      </c>
      <c r="M14" s="64">
        <f>L14/L$19</f>
        <v>8.6044367499660768E-2</v>
      </c>
    </row>
    <row r="15" spans="1:18" s="13" customFormat="1" ht="11" x14ac:dyDescent="0.15">
      <c r="A15" s="3" t="str">
        <f>'Monthly Summary'!A15</f>
        <v>NA Beverage</v>
      </c>
      <c r="B15" s="3"/>
      <c r="C15" s="9">
        <v>1500</v>
      </c>
      <c r="D15" s="10">
        <f>'Monthly Summary'!AA15</f>
        <v>281520</v>
      </c>
      <c r="E15" s="80">
        <f>'Monthly Summary'!AB15</f>
        <v>2.8681452911133637E-2</v>
      </c>
      <c r="F15" s="11">
        <f>(D15*15%)+D15</f>
        <v>323748</v>
      </c>
      <c r="G15" s="64">
        <f>F15/F$19</f>
        <v>2.8681435804168771E-2</v>
      </c>
      <c r="H15" s="11">
        <f>(F15*7%)+F15</f>
        <v>346410.36</v>
      </c>
      <c r="I15" s="64">
        <f>H15/H$19</f>
        <v>2.8681455833220255E-2</v>
      </c>
      <c r="J15" s="11">
        <f>(H15*7%)+H15</f>
        <v>370659.08519999997</v>
      </c>
      <c r="K15" s="64">
        <f>J15/J$19</f>
        <v>2.8681455833220255E-2</v>
      </c>
      <c r="L15" s="11">
        <f>(J15*7%)+J15</f>
        <v>396605.22116399999</v>
      </c>
      <c r="M15" s="64">
        <f>L15/L$19</f>
        <v>2.8681455833220255E-2</v>
      </c>
    </row>
    <row r="16" spans="1:18" s="13" customFormat="1" ht="11" x14ac:dyDescent="0.15">
      <c r="A16" s="3" t="str">
        <f>'Monthly Summary'!A16</f>
        <v>Beverage Sales</v>
      </c>
      <c r="B16" s="3"/>
      <c r="C16" s="9">
        <v>300</v>
      </c>
      <c r="D16" s="10">
        <f>'Monthly Summary'!AA16</f>
        <v>5630400</v>
      </c>
      <c r="E16" s="80">
        <f>'Monthly Summary'!AB16</f>
        <v>0.57362905822267274</v>
      </c>
      <c r="F16" s="11">
        <f>'Monthly Summary'!BB16</f>
        <v>6474967.8825257253</v>
      </c>
      <c r="G16" s="64">
        <f>F16/F$19</f>
        <v>0.57362941441094983</v>
      </c>
      <c r="H16" s="11">
        <f>SUM(H12:H15)</f>
        <v>6928207.2000000002</v>
      </c>
      <c r="I16" s="64">
        <f>H16/H$19</f>
        <v>0.57362911666440519</v>
      </c>
      <c r="J16" s="11">
        <f>SUM(J12:J15)</f>
        <v>7413181.703999999</v>
      </c>
      <c r="K16" s="64">
        <f>J16/J$19</f>
        <v>0.57362911666440508</v>
      </c>
      <c r="L16" s="11">
        <f>SUM(L12:L15)</f>
        <v>7932104.4232799998</v>
      </c>
      <c r="M16" s="64">
        <f>L16/L$19</f>
        <v>0.57362911666440508</v>
      </c>
    </row>
    <row r="17" spans="1:13" s="13" customFormat="1" ht="11" x14ac:dyDescent="0.15">
      <c r="A17" s="3"/>
      <c r="B17" s="3"/>
      <c r="C17" s="12"/>
      <c r="D17" s="10"/>
      <c r="E17" s="80"/>
      <c r="F17" s="11"/>
      <c r="G17" s="64"/>
      <c r="H17" s="11"/>
      <c r="I17" s="64"/>
      <c r="J17" s="11"/>
      <c r="K17" s="64"/>
      <c r="L17" s="11"/>
      <c r="M17" s="64"/>
    </row>
    <row r="18" spans="1:13" s="13" customFormat="1" ht="11" x14ac:dyDescent="0.15">
      <c r="A18" s="3" t="str">
        <f>'Monthly Summary'!A18</f>
        <v>Special Event Sales</v>
      </c>
      <c r="B18" s="3"/>
      <c r="C18" s="12">
        <v>500</v>
      </c>
      <c r="D18" s="10">
        <f>'Monthly Summary'!AA18</f>
        <v>1125001.3393535577</v>
      </c>
      <c r="E18" s="80">
        <f>'Monthly Summary'!AB18</f>
        <v>0.11461591694952876</v>
      </c>
      <c r="F18" s="11">
        <f>(D18*15%)+D18</f>
        <v>1293751.5402565913</v>
      </c>
      <c r="G18" s="64">
        <f>F18/F$19</f>
        <v>0.11461584858721566</v>
      </c>
      <c r="H18" s="11">
        <f>(F18*7%)+F18</f>
        <v>1384314.1480745526</v>
      </c>
      <c r="I18" s="64">
        <f>H18/H$19</f>
        <v>0.11461592862667909</v>
      </c>
      <c r="J18" s="11">
        <f>(H18*7%)+H18</f>
        <v>1481216.1384397713</v>
      </c>
      <c r="K18" s="64">
        <f>J18/J$19</f>
        <v>0.11461592862667909</v>
      </c>
      <c r="L18" s="11">
        <f>(J18*7%)+J18</f>
        <v>1584901.2681305553</v>
      </c>
      <c r="M18" s="64">
        <f>L18/L$19</f>
        <v>0.11461592862667909</v>
      </c>
    </row>
    <row r="19" spans="1:13" s="13" customFormat="1" ht="11" x14ac:dyDescent="0.15">
      <c r="A19" s="95" t="str">
        <f>'Monthly Summary'!A19</f>
        <v>Total Gross Revenue</v>
      </c>
      <c r="B19" s="96"/>
      <c r="C19" s="97">
        <v>800</v>
      </c>
      <c r="D19" s="98">
        <f>'Monthly Summary'!AA19</f>
        <v>9815402.3393535577</v>
      </c>
      <c r="E19" s="99">
        <f>'Monthly Summary'!AB19</f>
        <v>1</v>
      </c>
      <c r="F19" s="100">
        <f>F18+F16+F10</f>
        <v>11287719.422782317</v>
      </c>
      <c r="G19" s="101">
        <f>F19/F$19</f>
        <v>1</v>
      </c>
      <c r="H19" s="100">
        <f>H18+H16+H10</f>
        <v>12077851.348074552</v>
      </c>
      <c r="I19" s="101">
        <f>H19/H$19</f>
        <v>1</v>
      </c>
      <c r="J19" s="100">
        <f>J18+J16+J10</f>
        <v>12923300.94243977</v>
      </c>
      <c r="K19" s="101">
        <f>J19/J$19</f>
        <v>1</v>
      </c>
      <c r="L19" s="100">
        <f>L18+L16+L10</f>
        <v>13827932.008410554</v>
      </c>
      <c r="M19" s="101">
        <f>L19/L$19</f>
        <v>1</v>
      </c>
    </row>
    <row r="20" spans="1:13" s="13" customFormat="1" ht="11" x14ac:dyDescent="0.15">
      <c r="A20" s="3"/>
      <c r="B20" s="3"/>
      <c r="C20" s="12">
        <f>C10*2.2%</f>
        <v>0</v>
      </c>
      <c r="D20" s="10"/>
      <c r="E20" s="80"/>
      <c r="F20" s="11"/>
      <c r="G20" s="64"/>
      <c r="H20" s="11"/>
      <c r="I20" s="64"/>
      <c r="J20" s="11"/>
      <c r="K20" s="64"/>
      <c r="L20" s="11"/>
      <c r="M20" s="64"/>
    </row>
    <row r="21" spans="1:13" s="13" customFormat="1" ht="11" x14ac:dyDescent="0.15">
      <c r="A21" s="27" t="str">
        <f>'Monthly Summary'!A21</f>
        <v>COGS</v>
      </c>
      <c r="B21" s="3"/>
      <c r="C21" s="12">
        <v>50</v>
      </c>
      <c r="D21" s="10"/>
      <c r="E21" s="80"/>
      <c r="F21" s="11"/>
      <c r="G21" s="64"/>
      <c r="H21" s="11"/>
      <c r="I21" s="64"/>
      <c r="J21" s="11"/>
      <c r="K21" s="64"/>
      <c r="L21" s="11"/>
      <c r="M21" s="64"/>
    </row>
    <row r="22" spans="1:13" s="13" customFormat="1" ht="11" x14ac:dyDescent="0.15">
      <c r="A22" s="3" t="str">
        <f>'Monthly Summary'!A22</f>
        <v>Food Cost</v>
      </c>
      <c r="B22" s="3"/>
      <c r="C22" s="12">
        <v>200</v>
      </c>
      <c r="D22" s="10">
        <f>'Monthly Summary'!AA22</f>
        <v>918001.02826186107</v>
      </c>
      <c r="E22" s="80">
        <f>'Monthly Summary'!AB22</f>
        <v>9.3526581644163206E-2</v>
      </c>
      <c r="F22" s="11">
        <f>(D22*15%)+D22</f>
        <v>1055701.1825011403</v>
      </c>
      <c r="G22" s="64">
        <f>F22/F$19</f>
        <v>9.3526525860519655E-2</v>
      </c>
      <c r="H22" s="11">
        <f>(F22*7%)+F22</f>
        <v>1129600.2652762202</v>
      </c>
      <c r="I22" s="64">
        <f>H22/H$19</f>
        <v>9.3526591172717222E-2</v>
      </c>
      <c r="J22" s="11">
        <f>(H22*7%)+H22</f>
        <v>1208672.2838455555</v>
      </c>
      <c r="K22" s="64">
        <f>J22/J$19</f>
        <v>9.3526591172717222E-2</v>
      </c>
      <c r="L22" s="11">
        <f>(J22*7%)+J22</f>
        <v>1293279.3437147443</v>
      </c>
      <c r="M22" s="64">
        <f>L22/L$19</f>
        <v>9.3526591172717208E-2</v>
      </c>
    </row>
    <row r="23" spans="1:13" s="13" customFormat="1" ht="11" x14ac:dyDescent="0.15">
      <c r="A23" s="3" t="str">
        <f>'Monthly Summary'!A23</f>
        <v>Beverage Cost</v>
      </c>
      <c r="B23" s="3"/>
      <c r="C23" s="12">
        <v>1200</v>
      </c>
      <c r="D23" s="10">
        <f>'Monthly Summary'!AA23</f>
        <v>1182385.3244012769</v>
      </c>
      <c r="E23" s="80">
        <f>'Monthly Summary'!AB23</f>
        <v>0.1204622371576822</v>
      </c>
      <c r="F23" s="11">
        <f>(D23*15%)+D23</f>
        <v>1359743.1230614684</v>
      </c>
      <c r="G23" s="64">
        <f>F23/F$19</f>
        <v>0.12046216530834929</v>
      </c>
      <c r="H23" s="11">
        <f>(F23*7%)+F23</f>
        <v>1454925.1416757712</v>
      </c>
      <c r="I23" s="64">
        <f>H23/H$19</f>
        <v>0.12046224943045976</v>
      </c>
      <c r="J23" s="11">
        <f>(H23*7%)+H23</f>
        <v>1556769.9015930751</v>
      </c>
      <c r="K23" s="64">
        <f>J23/J$19</f>
        <v>0.12046224943045974</v>
      </c>
      <c r="L23" s="11">
        <f>(J23*7%)+J23</f>
        <v>1665743.7947045905</v>
      </c>
      <c r="M23" s="64">
        <f>L23/L$19</f>
        <v>0.12046224943045974</v>
      </c>
    </row>
    <row r="24" spans="1:13" s="13" customFormat="1" ht="11" x14ac:dyDescent="0.15">
      <c r="A24" s="32" t="str">
        <f>'Monthly Summary'!A24</f>
        <v>Total  Blended COGS</v>
      </c>
      <c r="B24" s="3"/>
      <c r="C24" s="12">
        <v>1950</v>
      </c>
      <c r="D24" s="10">
        <f>'Monthly Summary'!AA24</f>
        <v>2100386.352663138</v>
      </c>
      <c r="E24" s="80">
        <f>'Monthly Summary'!AB24</f>
        <v>0.21398881880184539</v>
      </c>
      <c r="F24" s="11">
        <f>(D24*15%)+D24</f>
        <v>2415444.3055626089</v>
      </c>
      <c r="G24" s="64">
        <f>F24/F$19</f>
        <v>0.21398869116886896</v>
      </c>
      <c r="H24" s="11">
        <f>(F24*7%)+F24</f>
        <v>2584525.4069519914</v>
      </c>
      <c r="I24" s="64">
        <f>H24/H$19</f>
        <v>0.21398884060317697</v>
      </c>
      <c r="J24" s="11">
        <f>(H24*7%)+H24</f>
        <v>2765442.1854386306</v>
      </c>
      <c r="K24" s="64">
        <f>J24/J$19</f>
        <v>0.21398884060317697</v>
      </c>
      <c r="L24" s="11">
        <f>(J24*7%)+J24</f>
        <v>2959023.1384193348</v>
      </c>
      <c r="M24" s="64">
        <f>L24/L$19</f>
        <v>0.21398884060317697</v>
      </c>
    </row>
    <row r="25" spans="1:13" s="13" customFormat="1" ht="11" x14ac:dyDescent="0.15">
      <c r="A25" s="3"/>
      <c r="B25" s="3"/>
      <c r="C25" s="12">
        <v>2500</v>
      </c>
      <c r="D25" s="10"/>
      <c r="E25" s="80"/>
      <c r="F25" s="11"/>
      <c r="G25" s="64"/>
      <c r="H25" s="11"/>
      <c r="I25" s="64"/>
      <c r="J25" s="11"/>
      <c r="K25" s="64"/>
      <c r="L25" s="11"/>
      <c r="M25" s="64"/>
    </row>
    <row r="26" spans="1:13" s="13" customFormat="1" ht="11" x14ac:dyDescent="0.15">
      <c r="A26" s="27" t="str">
        <f>'Monthly Summary'!A26</f>
        <v>EXPENSE LINES</v>
      </c>
      <c r="B26" s="3"/>
      <c r="C26" s="12">
        <v>500</v>
      </c>
      <c r="D26" s="10"/>
      <c r="E26" s="80"/>
      <c r="F26" s="11"/>
      <c r="G26" s="64"/>
      <c r="H26" s="11"/>
      <c r="I26" s="64"/>
      <c r="J26" s="11"/>
      <c r="K26" s="64"/>
      <c r="L26" s="11"/>
      <c r="M26" s="64"/>
    </row>
    <row r="27" spans="1:13" s="13" customFormat="1" ht="11" x14ac:dyDescent="0.15">
      <c r="A27" s="74" t="str">
        <f>'Monthly Summary'!A27</f>
        <v>Payroll Expense:</v>
      </c>
      <c r="B27" s="3"/>
      <c r="C27" s="12">
        <f>C10*1.25%</f>
        <v>0</v>
      </c>
      <c r="D27" s="10"/>
      <c r="E27" s="80"/>
      <c r="F27" s="11"/>
      <c r="G27" s="64"/>
      <c r="H27" s="11"/>
      <c r="I27" s="64"/>
      <c r="J27" s="11"/>
      <c r="K27" s="64"/>
      <c r="L27" s="11"/>
      <c r="M27" s="64"/>
    </row>
    <row r="28" spans="1:13" s="13" customFormat="1" ht="11" x14ac:dyDescent="0.15">
      <c r="A28" s="3" t="str">
        <f>'Monthly Summary'!A28</f>
        <v>Labor Expenses</v>
      </c>
      <c r="B28" s="3"/>
      <c r="C28" s="12">
        <f>C10*44.7%</f>
        <v>0</v>
      </c>
      <c r="D28" s="10">
        <f>'Monthly Summary'!AA28</f>
        <v>4002216.573162999</v>
      </c>
      <c r="E28" s="80">
        <f>'Monthly Summary'!AB28</f>
        <v>0.40774860110590078</v>
      </c>
      <c r="F28" s="11">
        <f>(D28*15%)+D28</f>
        <v>4602549.0591374487</v>
      </c>
      <c r="G28" s="64">
        <f>F28/F$19</f>
        <v>0.40774835790549474</v>
      </c>
      <c r="H28" s="11">
        <f>(F28*7%)+F28</f>
        <v>4924727.4932770701</v>
      </c>
      <c r="I28" s="64">
        <f>H28/H$19</f>
        <v>0.4077486426476154</v>
      </c>
      <c r="J28" s="11">
        <f>(H28*7%)+H28</f>
        <v>5269458.4178064652</v>
      </c>
      <c r="K28" s="64">
        <f>J28/J$19</f>
        <v>0.4077486426476154</v>
      </c>
      <c r="L28" s="11">
        <f>(J28*7%)+J28</f>
        <v>5638320.507052918</v>
      </c>
      <c r="M28" s="64">
        <f>L28/L$19</f>
        <v>0.4077486426476154</v>
      </c>
    </row>
    <row r="29" spans="1:13" s="13" customFormat="1" ht="11" x14ac:dyDescent="0.15">
      <c r="A29" s="3" t="str">
        <f>'Monthly Summary'!A29</f>
        <v>Payroll Tax Expenses</v>
      </c>
      <c r="B29" s="3"/>
      <c r="C29" s="12">
        <f>+C28*0.12</f>
        <v>0</v>
      </c>
      <c r="D29" s="10">
        <f>'Monthly Summary'!AA29</f>
        <v>480265.98877956008</v>
      </c>
      <c r="E29" s="80">
        <f>'Monthly Summary'!AB29</f>
        <v>4.8929832132708115E-2</v>
      </c>
      <c r="F29" s="11">
        <f>(D29*15%)+D29</f>
        <v>552305.88709649409</v>
      </c>
      <c r="G29" s="64">
        <f>F29/F$19</f>
        <v>4.8929802948659389E-2</v>
      </c>
      <c r="H29" s="11">
        <f>(F29*7%)+F29</f>
        <v>590967.29919324862</v>
      </c>
      <c r="I29" s="64">
        <f>H29/H$19</f>
        <v>4.8929837117713863E-2</v>
      </c>
      <c r="J29" s="11">
        <f>(H29*7%)+H29</f>
        <v>632335.01013677602</v>
      </c>
      <c r="K29" s="64">
        <f>J29/J$19</f>
        <v>4.8929837117713863E-2</v>
      </c>
      <c r="L29" s="11">
        <f>(J29*7%)+J29</f>
        <v>676598.4608463503</v>
      </c>
      <c r="M29" s="64">
        <f>L29/L$19</f>
        <v>4.8929837117713856E-2</v>
      </c>
    </row>
    <row r="30" spans="1:13" s="13" customFormat="1" ht="11" x14ac:dyDescent="0.15">
      <c r="A30" s="3" t="str">
        <f>'Monthly Summary'!A30</f>
        <v>Work Comp Insurance</v>
      </c>
      <c r="B30" s="3"/>
      <c r="C30" s="12">
        <v>500</v>
      </c>
      <c r="D30" s="10">
        <f>'Monthly Summary'!AA30</f>
        <v>48000.054143660898</v>
      </c>
      <c r="E30" s="80">
        <f>'Monthly Summary'!AB30</f>
        <v>4.8902788173247908E-3</v>
      </c>
      <c r="F30" s="11">
        <f>(D30*15%)+D30</f>
        <v>55200.062265210036</v>
      </c>
      <c r="G30" s="64">
        <f>F30/F$19</f>
        <v>4.8902759005329472E-3</v>
      </c>
      <c r="H30" s="11">
        <f>(F30*7%)+F30</f>
        <v>59064.066623774735</v>
      </c>
      <c r="I30" s="64">
        <f>H30/H$19</f>
        <v>4.8902793155498406E-3</v>
      </c>
      <c r="J30" s="11">
        <f>(H30*7%)+H30</f>
        <v>63198.551287438968</v>
      </c>
      <c r="K30" s="64">
        <f>J30/J$19</f>
        <v>4.8902793155498406E-3</v>
      </c>
      <c r="L30" s="11">
        <f>(J30*7%)+J30</f>
        <v>67622.449877559702</v>
      </c>
      <c r="M30" s="64">
        <f>L30/L$19</f>
        <v>4.8902793155498406E-3</v>
      </c>
    </row>
    <row r="31" spans="1:13" s="13" customFormat="1" ht="11" x14ac:dyDescent="0.15">
      <c r="A31" s="3"/>
      <c r="B31" s="3"/>
      <c r="C31" s="12">
        <v>200</v>
      </c>
      <c r="D31" s="10">
        <f>'Monthly Summary'!AA31</f>
        <v>4530482.6160862194</v>
      </c>
      <c r="E31" s="80">
        <f>'Monthly Summary'!AB31</f>
        <v>0.46156871205593364</v>
      </c>
      <c r="F31" s="11">
        <f>SUM(F28:F30)</f>
        <v>5210055.008499153</v>
      </c>
      <c r="G31" s="64">
        <f>F31/F$19</f>
        <v>0.46156843675468712</v>
      </c>
      <c r="H31" s="11">
        <f>SUM(H28:H30)</f>
        <v>5574758.8590940936</v>
      </c>
      <c r="I31" s="64">
        <f>H31/H$19</f>
        <v>0.46156875908087908</v>
      </c>
      <c r="J31" s="11">
        <f>SUM(J28:J30)</f>
        <v>5964991.9792306796</v>
      </c>
      <c r="K31" s="64">
        <f>J31/J$19</f>
        <v>0.46156875908087908</v>
      </c>
      <c r="L31" s="11">
        <f>SUM(L28:L30)</f>
        <v>6382541.4177768286</v>
      </c>
      <c r="M31" s="64">
        <f>L31/L$19</f>
        <v>0.46156875908087913</v>
      </c>
    </row>
    <row r="32" spans="1:13" s="13" customFormat="1" ht="11" x14ac:dyDescent="0.15">
      <c r="A32" s="73" t="str">
        <f>'Monthly Summary'!A32</f>
        <v>Administrative Expenses:</v>
      </c>
      <c r="B32" s="3"/>
      <c r="C32" s="12">
        <v>800</v>
      </c>
      <c r="D32" s="10"/>
      <c r="E32" s="80"/>
      <c r="F32" s="11"/>
      <c r="G32" s="64"/>
      <c r="H32" s="11"/>
      <c r="I32" s="64"/>
      <c r="J32" s="11"/>
      <c r="K32" s="64"/>
      <c r="L32" s="11"/>
      <c r="M32" s="64"/>
    </row>
    <row r="33" spans="1:13" s="13" customFormat="1" ht="11" x14ac:dyDescent="0.15">
      <c r="A33" s="3" t="str">
        <f>'Monthly Summary'!A33</f>
        <v>Advertising and Promotion</v>
      </c>
      <c r="B33" s="3"/>
      <c r="C33" s="12">
        <f>7.5%*SUM(C6+C7+C8)</f>
        <v>9134.8455674999987</v>
      </c>
      <c r="D33" s="10">
        <f>'Monthly Summary'!AA33</f>
        <v>60000.067679576117</v>
      </c>
      <c r="E33" s="80">
        <f>'Monthly Summary'!AB33</f>
        <v>6.1128485216559872E-3</v>
      </c>
      <c r="F33" s="11">
        <v>70000</v>
      </c>
      <c r="G33" s="64">
        <f t="shared" ref="G33:G42" si="0">F33/F$19</f>
        <v>6.2014298352169404E-3</v>
      </c>
      <c r="H33" s="11">
        <v>70000</v>
      </c>
      <c r="I33" s="64">
        <f t="shared" ref="I33:I42" si="1">H33/H$19</f>
        <v>5.7957328652798318E-3</v>
      </c>
      <c r="J33" s="11">
        <v>70000</v>
      </c>
      <c r="K33" s="64">
        <f t="shared" ref="K33:K42" si="2">J33/J$19</f>
        <v>5.4165727712895623E-3</v>
      </c>
      <c r="L33" s="11">
        <v>70000</v>
      </c>
      <c r="M33" s="64">
        <f t="shared" ref="M33:M42" si="3">L33/L$19</f>
        <v>5.0622175432612736E-3</v>
      </c>
    </row>
    <row r="34" spans="1:13" s="13" customFormat="1" ht="11" x14ac:dyDescent="0.15">
      <c r="A34" s="3" t="str">
        <f>'Monthly Summary'!A34</f>
        <v>Banking Expense</v>
      </c>
      <c r="B34" s="3"/>
      <c r="C34" s="12">
        <v>400</v>
      </c>
      <c r="D34" s="10">
        <f>'Monthly Summary'!AA34</f>
        <v>1200.0013535915225</v>
      </c>
      <c r="E34" s="80">
        <f>'Monthly Summary'!AB34</f>
        <v>1.2225697043311977E-4</v>
      </c>
      <c r="F34" s="11">
        <v>1200</v>
      </c>
      <c r="G34" s="64">
        <f t="shared" si="0"/>
        <v>1.0631022574657613E-4</v>
      </c>
      <c r="H34" s="11">
        <v>1200</v>
      </c>
      <c r="I34" s="64">
        <f t="shared" si="1"/>
        <v>9.9355420547654264E-5</v>
      </c>
      <c r="J34" s="11">
        <v>1200</v>
      </c>
      <c r="K34" s="64">
        <f t="shared" si="2"/>
        <v>9.2855533222106786E-5</v>
      </c>
      <c r="L34" s="11">
        <v>1200</v>
      </c>
      <c r="M34" s="64">
        <f t="shared" si="3"/>
        <v>8.6780872170193251E-5</v>
      </c>
    </row>
    <row r="35" spans="1:13" s="13" customFormat="1" ht="11" x14ac:dyDescent="0.15">
      <c r="A35" s="3" t="str">
        <f>'Monthly Summary'!A35</f>
        <v>Merchant Account Fees</v>
      </c>
      <c r="B35" s="3"/>
      <c r="C35" s="12">
        <v>2000</v>
      </c>
      <c r="D35" s="10">
        <f>'Monthly Summary'!AA35</f>
        <v>294462.36</v>
      </c>
      <c r="E35" s="80">
        <f>'Monthly Summary'!AB35</f>
        <v>3.0000029527000854E-2</v>
      </c>
      <c r="F35" s="11">
        <f>(D35*15%)+D35</f>
        <v>338631.71399999998</v>
      </c>
      <c r="G35" s="64">
        <f t="shared" si="0"/>
        <v>3.0000011633574998E-2</v>
      </c>
      <c r="H35" s="11">
        <f>(F35*7%)+F35</f>
        <v>362335.93397999997</v>
      </c>
      <c r="I35" s="64">
        <f t="shared" si="1"/>
        <v>3.0000032583424988E-2</v>
      </c>
      <c r="J35" s="11">
        <f>(H35*7%)+H35</f>
        <v>387699.44935859996</v>
      </c>
      <c r="K35" s="64">
        <f t="shared" si="2"/>
        <v>3.0000032583424988E-2</v>
      </c>
      <c r="L35" s="11">
        <f>(J35*7%)+J35</f>
        <v>414838.41081370198</v>
      </c>
      <c r="M35" s="64">
        <f t="shared" si="3"/>
        <v>3.0000032583424988E-2</v>
      </c>
    </row>
    <row r="36" spans="1:13" s="13" customFormat="1" ht="11" x14ac:dyDescent="0.15">
      <c r="A36" s="3" t="str">
        <f>'Monthly Summary'!A36</f>
        <v>Licenses &amp; Permits</v>
      </c>
      <c r="B36" s="3"/>
      <c r="C36" s="12">
        <v>400</v>
      </c>
      <c r="D36" s="10">
        <f>'Monthly Summary'!AA36</f>
        <v>7500.0084599470147</v>
      </c>
      <c r="E36" s="80">
        <f>'Monthly Summary'!AB36</f>
        <v>7.641060652069984E-4</v>
      </c>
      <c r="F36" s="11">
        <v>7500</v>
      </c>
      <c r="G36" s="64">
        <f t="shared" si="0"/>
        <v>6.6443891091610074E-4</v>
      </c>
      <c r="H36" s="11">
        <v>7500</v>
      </c>
      <c r="I36" s="64">
        <f t="shared" si="1"/>
        <v>6.2097137842283907E-4</v>
      </c>
      <c r="J36" s="11">
        <v>7500</v>
      </c>
      <c r="K36" s="64">
        <f t="shared" si="2"/>
        <v>5.8034708263816741E-4</v>
      </c>
      <c r="L36" s="11">
        <v>7500</v>
      </c>
      <c r="M36" s="64">
        <f t="shared" si="3"/>
        <v>5.4238045106370784E-4</v>
      </c>
    </row>
    <row r="37" spans="1:13" s="13" customFormat="1" ht="11" x14ac:dyDescent="0.15">
      <c r="A37" s="3" t="str">
        <f>'Monthly Summary'!A37</f>
        <v>Linens Service</v>
      </c>
      <c r="B37" s="3"/>
      <c r="C37" s="12">
        <v>250</v>
      </c>
      <c r="D37" s="10">
        <f>'Monthly Summary'!AA37</f>
        <v>14400.016243098267</v>
      </c>
      <c r="E37" s="80">
        <f>'Monthly Summary'!AB37</f>
        <v>1.467083645197437E-3</v>
      </c>
      <c r="F37" s="11">
        <v>14400</v>
      </c>
      <c r="G37" s="64">
        <f t="shared" si="0"/>
        <v>1.2757227089589135E-3</v>
      </c>
      <c r="H37" s="11">
        <v>14400</v>
      </c>
      <c r="I37" s="64">
        <f t="shared" si="1"/>
        <v>1.1922650465718511E-3</v>
      </c>
      <c r="J37" s="11">
        <v>14400</v>
      </c>
      <c r="K37" s="64">
        <f t="shared" si="2"/>
        <v>1.1142663986652814E-3</v>
      </c>
      <c r="L37" s="11">
        <v>14400</v>
      </c>
      <c r="M37" s="64">
        <f t="shared" si="3"/>
        <v>1.0413704660423191E-3</v>
      </c>
    </row>
    <row r="38" spans="1:13" s="13" customFormat="1" ht="11" x14ac:dyDescent="0.15">
      <c r="A38" s="3" t="str">
        <f>'Monthly Summary'!A38</f>
        <v>Reservation Systems</v>
      </c>
      <c r="B38" s="3"/>
      <c r="C38" s="12">
        <f>35000/12</f>
        <v>2916.6666666666665</v>
      </c>
      <c r="D38" s="10">
        <f>'Monthly Summary'!AA38</f>
        <v>6000.0067679576123</v>
      </c>
      <c r="E38" s="80">
        <f>'Monthly Summary'!AB38</f>
        <v>6.1128485216559885E-4</v>
      </c>
      <c r="F38" s="11">
        <v>6000</v>
      </c>
      <c r="G38" s="64">
        <f t="shared" si="0"/>
        <v>5.3155112873288059E-4</v>
      </c>
      <c r="H38" s="11">
        <v>6000</v>
      </c>
      <c r="I38" s="64">
        <f t="shared" si="1"/>
        <v>4.9677710273827135E-4</v>
      </c>
      <c r="J38" s="11">
        <v>6000</v>
      </c>
      <c r="K38" s="64">
        <f t="shared" si="2"/>
        <v>4.6427766611053389E-4</v>
      </c>
      <c r="L38" s="11">
        <v>6000</v>
      </c>
      <c r="M38" s="64">
        <f t="shared" si="3"/>
        <v>4.3390436085096628E-4</v>
      </c>
    </row>
    <row r="39" spans="1:13" s="13" customFormat="1" ht="11" x14ac:dyDescent="0.15">
      <c r="A39" s="3" t="str">
        <f>'Monthly Summary'!A39</f>
        <v>Marketing Materials</v>
      </c>
      <c r="B39" s="3"/>
      <c r="C39" s="12">
        <v>1250</v>
      </c>
      <c r="D39" s="10">
        <f>'Monthly Summary'!AA39</f>
        <v>60000.067679576117</v>
      </c>
      <c r="E39" s="80">
        <f>'Monthly Summary'!AB39</f>
        <v>6.1128485216559872E-3</v>
      </c>
      <c r="F39" s="11">
        <v>60000</v>
      </c>
      <c r="G39" s="64">
        <f t="shared" si="0"/>
        <v>5.3155112873288059E-3</v>
      </c>
      <c r="H39" s="11">
        <v>60000</v>
      </c>
      <c r="I39" s="64">
        <f t="shared" si="1"/>
        <v>4.9677710273827126E-3</v>
      </c>
      <c r="J39" s="11">
        <v>60000</v>
      </c>
      <c r="K39" s="64">
        <f t="shared" si="2"/>
        <v>4.6427766611053392E-3</v>
      </c>
      <c r="L39" s="11">
        <v>60000</v>
      </c>
      <c r="M39" s="64">
        <f t="shared" si="3"/>
        <v>4.3390436085096627E-3</v>
      </c>
    </row>
    <row r="40" spans="1:13" s="13" customFormat="1" ht="11" x14ac:dyDescent="0.15">
      <c r="A40" s="3" t="str">
        <f>'Monthly Summary'!A40</f>
        <v>Accounting</v>
      </c>
      <c r="B40" s="3"/>
      <c r="C40" s="12">
        <v>100</v>
      </c>
      <c r="D40" s="10">
        <f>'Monthly Summary'!AA40</f>
        <v>60000.067679576117</v>
      </c>
      <c r="E40" s="80">
        <f>'Monthly Summary'!AB40</f>
        <v>6.1128485216559872E-3</v>
      </c>
      <c r="F40" s="11">
        <v>60000</v>
      </c>
      <c r="G40" s="64">
        <f t="shared" si="0"/>
        <v>5.3155112873288059E-3</v>
      </c>
      <c r="H40" s="11">
        <v>60000</v>
      </c>
      <c r="I40" s="64">
        <f t="shared" si="1"/>
        <v>4.9677710273827126E-3</v>
      </c>
      <c r="J40" s="11">
        <v>60000</v>
      </c>
      <c r="K40" s="64">
        <f t="shared" si="2"/>
        <v>4.6427766611053392E-3</v>
      </c>
      <c r="L40" s="11">
        <v>60000</v>
      </c>
      <c r="M40" s="64">
        <f t="shared" si="3"/>
        <v>4.3390436085096627E-3</v>
      </c>
    </row>
    <row r="41" spans="1:13" s="13" customFormat="1" ht="11" x14ac:dyDescent="0.15">
      <c r="A41" s="3" t="str">
        <f>'Monthly Summary'!A41</f>
        <v>Entertainment</v>
      </c>
      <c r="B41" s="3"/>
      <c r="C41" s="12">
        <v>1000</v>
      </c>
      <c r="D41" s="10">
        <f>'Monthly Summary'!AA41</f>
        <v>96000.108287321797</v>
      </c>
      <c r="E41" s="80">
        <f>'Monthly Summary'!AB41</f>
        <v>9.7805576346495816E-3</v>
      </c>
      <c r="F41" s="11">
        <v>104000</v>
      </c>
      <c r="G41" s="64">
        <f t="shared" si="0"/>
        <v>9.2135528980365963E-3</v>
      </c>
      <c r="H41" s="11">
        <v>104000</v>
      </c>
      <c r="I41" s="64">
        <f t="shared" si="1"/>
        <v>8.6108031141300355E-3</v>
      </c>
      <c r="J41" s="11">
        <v>104000</v>
      </c>
      <c r="K41" s="64">
        <f t="shared" si="2"/>
        <v>8.0474795459159216E-3</v>
      </c>
      <c r="L41" s="11">
        <v>104000</v>
      </c>
      <c r="M41" s="64">
        <f t="shared" si="3"/>
        <v>7.5210089214167485E-3</v>
      </c>
    </row>
    <row r="42" spans="1:13" s="13" customFormat="1" ht="11" x14ac:dyDescent="0.15">
      <c r="A42" s="3"/>
      <c r="B42" s="3"/>
      <c r="C42" s="12">
        <v>2000</v>
      </c>
      <c r="D42" s="10">
        <f>'Monthly Summary'!AA42</f>
        <v>599562.70415064448</v>
      </c>
      <c r="E42" s="80">
        <f>'Monthly Summary'!AB42</f>
        <v>6.1083864259621541E-2</v>
      </c>
      <c r="F42" s="11">
        <f>SUM(F33:F41)</f>
        <v>661731.71399999992</v>
      </c>
      <c r="G42" s="64">
        <f t="shared" si="0"/>
        <v>5.8624039915840614E-2</v>
      </c>
      <c r="H42" s="11">
        <f>SUM(H33:H41)</f>
        <v>685435.93397999997</v>
      </c>
      <c r="I42" s="64">
        <f t="shared" si="1"/>
        <v>5.6751479565880898E-2</v>
      </c>
      <c r="J42" s="11">
        <f>SUM(J33:J41)</f>
        <v>710799.44935859996</v>
      </c>
      <c r="K42" s="64">
        <f t="shared" si="2"/>
        <v>5.5001384903477238E-2</v>
      </c>
      <c r="L42" s="11">
        <f>SUM(L33:L41)</f>
        <v>737938.41081370204</v>
      </c>
      <c r="M42" s="64">
        <f t="shared" si="3"/>
        <v>5.336578241524953E-2</v>
      </c>
    </row>
    <row r="43" spans="1:13" s="13" customFormat="1" ht="11" x14ac:dyDescent="0.15">
      <c r="A43" s="74" t="str">
        <f>'Monthly Summary'!A43</f>
        <v>Restaurant Controllable Expenses:</v>
      </c>
      <c r="B43" s="3"/>
      <c r="C43" s="12"/>
      <c r="D43" s="10"/>
      <c r="E43" s="80"/>
      <c r="F43" s="11"/>
      <c r="G43" s="64"/>
      <c r="H43" s="11"/>
      <c r="I43" s="64"/>
      <c r="J43" s="11"/>
      <c r="K43" s="64"/>
      <c r="L43" s="11"/>
      <c r="M43" s="64"/>
    </row>
    <row r="44" spans="1:13" s="13" customFormat="1" ht="11" x14ac:dyDescent="0.15">
      <c r="A44" s="3" t="str">
        <f>'Monthly Summary'!A44</f>
        <v>Comps / Discounts</v>
      </c>
      <c r="B44" s="3"/>
      <c r="C44" s="12">
        <f>7500/12</f>
        <v>625</v>
      </c>
      <c r="D44" s="10">
        <f>'Monthly Summary'!AA44</f>
        <v>180027.56958550002</v>
      </c>
      <c r="E44" s="80">
        <f>'Monthly Summary'!AB44</f>
        <v>1.8341333687739249E-2</v>
      </c>
      <c r="F44" s="11">
        <f>(D44*15%)+D44</f>
        <v>207031.70502332502</v>
      </c>
      <c r="G44" s="64">
        <f t="shared" ref="G44:G54" si="4">F44/F$19</f>
        <v>1.8341322748106868E-2</v>
      </c>
      <c r="H44" s="11">
        <f>(F44*7%)+F44</f>
        <v>221523.92437495777</v>
      </c>
      <c r="I44" s="64">
        <f t="shared" ref="I44:I54" si="5">H44/H$19</f>
        <v>1.8341335556367241E-2</v>
      </c>
      <c r="J44" s="11">
        <f>(H44*7%)+H44</f>
        <v>237030.59908120483</v>
      </c>
      <c r="K44" s="64">
        <f t="shared" ref="K44:K54" si="6">J44/J$19</f>
        <v>1.8341335556367241E-2</v>
      </c>
      <c r="L44" s="11">
        <f>(J44*7%)+J44</f>
        <v>253622.74101688917</v>
      </c>
      <c r="M44" s="64">
        <f t="shared" ref="M44:M54" si="7">L44/L$19</f>
        <v>1.8341335556367241E-2</v>
      </c>
    </row>
    <row r="45" spans="1:13" s="13" customFormat="1" ht="11" x14ac:dyDescent="0.15">
      <c r="A45" s="3" t="str">
        <f>'Monthly Summary'!A45</f>
        <v>Special Event Expense</v>
      </c>
      <c r="B45" s="3"/>
      <c r="C45" s="12"/>
      <c r="D45" s="10">
        <f>'Monthly Summary'!AA45</f>
        <v>112500.12657865963</v>
      </c>
      <c r="E45" s="80">
        <f>'Monthly Summary'!AB45</f>
        <v>1.146159094544757E-2</v>
      </c>
      <c r="F45" s="11">
        <f>(D45*15%)+D45</f>
        <v>129375.14556545857</v>
      </c>
      <c r="G45" s="64">
        <f t="shared" si="4"/>
        <v>1.1461584109216705E-2</v>
      </c>
      <c r="H45" s="11">
        <f>(F45*7%)+F45</f>
        <v>138431.40575504067</v>
      </c>
      <c r="I45" s="64">
        <f t="shared" si="5"/>
        <v>1.1461592113162526E-2</v>
      </c>
      <c r="J45" s="11">
        <f>(H45*7%)+H45</f>
        <v>148121.60415789351</v>
      </c>
      <c r="K45" s="64">
        <f t="shared" si="6"/>
        <v>1.1461592113162526E-2</v>
      </c>
      <c r="L45" s="11">
        <f>(J45*7%)+J45</f>
        <v>158490.11644894606</v>
      </c>
      <c r="M45" s="64">
        <f t="shared" si="7"/>
        <v>1.1461592113162526E-2</v>
      </c>
    </row>
    <row r="46" spans="1:13" s="13" customFormat="1" ht="11" x14ac:dyDescent="0.15">
      <c r="A46" s="3" t="str">
        <f>'Monthly Summary'!A46</f>
        <v>Cleaning Supplies</v>
      </c>
      <c r="B46" s="3"/>
      <c r="C46" s="12">
        <f>15600/12</f>
        <v>1300</v>
      </c>
      <c r="D46" s="10">
        <f>'Monthly Summary'!AA46</f>
        <v>18000.020303872836</v>
      </c>
      <c r="E46" s="80">
        <f>'Monthly Summary'!AB46</f>
        <v>1.8338545564967963E-3</v>
      </c>
      <c r="F46" s="11">
        <v>24000</v>
      </c>
      <c r="G46" s="64">
        <f t="shared" si="4"/>
        <v>2.1262045149315224E-3</v>
      </c>
      <c r="H46" s="11">
        <v>24000</v>
      </c>
      <c r="I46" s="64">
        <f t="shared" si="5"/>
        <v>1.9871084109530854E-3</v>
      </c>
      <c r="J46" s="11">
        <v>24000</v>
      </c>
      <c r="K46" s="64">
        <f t="shared" si="6"/>
        <v>1.8571106644421356E-3</v>
      </c>
      <c r="L46" s="11">
        <v>24000</v>
      </c>
      <c r="M46" s="64">
        <f t="shared" si="7"/>
        <v>1.7356174434038651E-3</v>
      </c>
    </row>
    <row r="47" spans="1:13" s="13" customFormat="1" ht="11" x14ac:dyDescent="0.15">
      <c r="A47" s="3" t="str">
        <f>'Monthly Summary'!A47</f>
        <v>China, Glass, Flatware</v>
      </c>
      <c r="B47" s="3"/>
      <c r="C47" s="12"/>
      <c r="D47" s="10">
        <f>'Monthly Summary'!AA47</f>
        <v>18250.020814078478</v>
      </c>
      <c r="E47" s="80">
        <f>'Monthly Summary'!AB47</f>
        <v>1.8593247819202921E-3</v>
      </c>
      <c r="F47" s="11">
        <v>24000</v>
      </c>
      <c r="G47" s="64">
        <f t="shared" si="4"/>
        <v>2.1262045149315224E-3</v>
      </c>
      <c r="H47" s="11">
        <v>24000</v>
      </c>
      <c r="I47" s="64">
        <f t="shared" si="5"/>
        <v>1.9871084109530854E-3</v>
      </c>
      <c r="J47" s="11">
        <v>24000</v>
      </c>
      <c r="K47" s="64">
        <f t="shared" si="6"/>
        <v>1.8571106644421356E-3</v>
      </c>
      <c r="L47" s="11">
        <v>24000</v>
      </c>
      <c r="M47" s="64">
        <f t="shared" si="7"/>
        <v>1.7356174434038651E-3</v>
      </c>
    </row>
    <row r="48" spans="1:13" s="13" customFormat="1" ht="11" x14ac:dyDescent="0.15">
      <c r="A48" s="3" t="str">
        <f>'Monthly Summary'!A48</f>
        <v>Supplies - Office</v>
      </c>
      <c r="B48" s="3"/>
      <c r="C48" s="12">
        <v>250</v>
      </c>
      <c r="D48" s="10">
        <f>'Monthly Summary'!AA48</f>
        <v>4800.00541436609</v>
      </c>
      <c r="E48" s="80">
        <f>'Monthly Summary'!AB48</f>
        <v>4.8902788173247908E-4</v>
      </c>
      <c r="F48" s="11">
        <v>12000</v>
      </c>
      <c r="G48" s="64">
        <f t="shared" si="4"/>
        <v>1.0631022574657612E-3</v>
      </c>
      <c r="H48" s="11">
        <v>12000</v>
      </c>
      <c r="I48" s="64">
        <f t="shared" si="5"/>
        <v>9.9355420547654269E-4</v>
      </c>
      <c r="J48" s="11">
        <v>12000</v>
      </c>
      <c r="K48" s="64">
        <f t="shared" si="6"/>
        <v>9.2855533222106778E-4</v>
      </c>
      <c r="L48" s="11">
        <v>12000</v>
      </c>
      <c r="M48" s="64">
        <f t="shared" si="7"/>
        <v>8.6780872170193256E-4</v>
      </c>
    </row>
    <row r="49" spans="1:13" x14ac:dyDescent="0.15">
      <c r="A49" s="3" t="str">
        <f>'Monthly Summary'!A49</f>
        <v>Uniforms</v>
      </c>
      <c r="B49" s="16"/>
      <c r="C49" s="33">
        <f>SUM(C18:C48)</f>
        <v>30826.512234166668</v>
      </c>
      <c r="D49" s="10">
        <f>'Monthly Summary'!AA49</f>
        <v>12750.014391334771</v>
      </c>
      <c r="E49" s="80">
        <f>'Monthly Summary'!AB49</f>
        <v>1.2989803118121073E-3</v>
      </c>
      <c r="F49" s="11">
        <v>15000</v>
      </c>
      <c r="G49" s="64">
        <f t="shared" si="4"/>
        <v>1.3288778218322015E-3</v>
      </c>
      <c r="H49" s="11">
        <v>15000</v>
      </c>
      <c r="I49" s="64">
        <f t="shared" si="5"/>
        <v>1.2419427568456781E-3</v>
      </c>
      <c r="J49" s="11">
        <v>15000</v>
      </c>
      <c r="K49" s="64">
        <f t="shared" si="6"/>
        <v>1.1606941652763348E-3</v>
      </c>
      <c r="L49" s="11">
        <v>15000</v>
      </c>
      <c r="M49" s="64">
        <f t="shared" si="7"/>
        <v>1.0847609021274157E-3</v>
      </c>
    </row>
    <row r="50" spans="1:13" x14ac:dyDescent="0.15">
      <c r="A50" s="3" t="str">
        <f>'Monthly Summary'!A50</f>
        <v>Kitchen Supplies</v>
      </c>
      <c r="C50" s="38"/>
      <c r="D50" s="10">
        <f>'Monthly Summary'!AA50</f>
        <v>24000.027071830449</v>
      </c>
      <c r="E50" s="80">
        <f>'Monthly Summary'!AB50</f>
        <v>2.4451394086623954E-3</v>
      </c>
      <c r="F50" s="11">
        <v>24000</v>
      </c>
      <c r="G50" s="64">
        <f t="shared" si="4"/>
        <v>2.1262045149315224E-3</v>
      </c>
      <c r="H50" s="11">
        <v>24000</v>
      </c>
      <c r="I50" s="64">
        <f t="shared" si="5"/>
        <v>1.9871084109530854E-3</v>
      </c>
      <c r="J50" s="11">
        <v>24000</v>
      </c>
      <c r="K50" s="64">
        <f t="shared" si="6"/>
        <v>1.8571106644421356E-3</v>
      </c>
      <c r="L50" s="11">
        <v>24000</v>
      </c>
      <c r="M50" s="64">
        <f t="shared" si="7"/>
        <v>1.7356174434038651E-3</v>
      </c>
    </row>
    <row r="51" spans="1:13" ht="14" thickBot="1" x14ac:dyDescent="0.2">
      <c r="A51" s="3" t="str">
        <f>'Monthly Summary'!A51</f>
        <v>Flowers / Décor</v>
      </c>
      <c r="C51" s="41">
        <f>+C10-C15-C49</f>
        <v>-32326.512234166668</v>
      </c>
      <c r="D51" s="10">
        <f>'Monthly Summary'!AA51</f>
        <v>12000.013535915225</v>
      </c>
      <c r="E51" s="80">
        <f>'Monthly Summary'!AB51</f>
        <v>1.2225697043311977E-3</v>
      </c>
      <c r="F51" s="11">
        <v>12000</v>
      </c>
      <c r="G51" s="64">
        <f t="shared" si="4"/>
        <v>1.0631022574657612E-3</v>
      </c>
      <c r="H51" s="11">
        <v>12000</v>
      </c>
      <c r="I51" s="64">
        <f t="shared" si="5"/>
        <v>9.9355420547654269E-4</v>
      </c>
      <c r="J51" s="11">
        <v>12000</v>
      </c>
      <c r="K51" s="64">
        <f t="shared" si="6"/>
        <v>9.2855533222106778E-4</v>
      </c>
      <c r="L51" s="11">
        <v>12000</v>
      </c>
      <c r="M51" s="64">
        <f t="shared" si="7"/>
        <v>8.6780872170193256E-4</v>
      </c>
    </row>
    <row r="52" spans="1:13" ht="14" thickTop="1" x14ac:dyDescent="0.15">
      <c r="A52" s="3" t="str">
        <f>'Monthly Summary'!A52</f>
        <v>Janitorial Services</v>
      </c>
      <c r="D52" s="10">
        <f>'Monthly Summary'!AA52</f>
        <v>24000.027071830449</v>
      </c>
      <c r="E52" s="80">
        <f>'Monthly Summary'!AB52</f>
        <v>2.4451394086623954E-3</v>
      </c>
      <c r="F52" s="11">
        <v>24000</v>
      </c>
      <c r="G52" s="64">
        <f t="shared" si="4"/>
        <v>2.1262045149315224E-3</v>
      </c>
      <c r="H52" s="11">
        <v>24000</v>
      </c>
      <c r="I52" s="64">
        <f t="shared" si="5"/>
        <v>1.9871084109530854E-3</v>
      </c>
      <c r="J52" s="11">
        <v>24000</v>
      </c>
      <c r="K52" s="64">
        <f t="shared" si="6"/>
        <v>1.8571106644421356E-3</v>
      </c>
      <c r="L52" s="11">
        <v>24000</v>
      </c>
      <c r="M52" s="64">
        <f t="shared" si="7"/>
        <v>1.7356174434038651E-3</v>
      </c>
    </row>
    <row r="53" spans="1:13" x14ac:dyDescent="0.15">
      <c r="A53" s="3" t="str">
        <f>'Monthly Summary'!A53</f>
        <v>Repair and Maintenance</v>
      </c>
      <c r="D53" s="10">
        <f>'Monthly Summary'!AA53</f>
        <v>18000.020303872836</v>
      </c>
      <c r="E53" s="80">
        <f>'Monthly Summary'!AB53</f>
        <v>1.8338545564967963E-3</v>
      </c>
      <c r="F53" s="11">
        <v>23000</v>
      </c>
      <c r="G53" s="64">
        <f t="shared" si="4"/>
        <v>2.037612660142709E-3</v>
      </c>
      <c r="H53" s="11">
        <v>23000</v>
      </c>
      <c r="I53" s="64">
        <f t="shared" si="5"/>
        <v>1.9043122271633732E-3</v>
      </c>
      <c r="J53" s="11">
        <v>23000</v>
      </c>
      <c r="K53" s="64">
        <f t="shared" si="6"/>
        <v>1.7797310534237133E-3</v>
      </c>
      <c r="L53" s="11">
        <v>23000</v>
      </c>
      <c r="M53" s="64">
        <f t="shared" si="7"/>
        <v>1.6633000499287041E-3</v>
      </c>
    </row>
    <row r="54" spans="1:13" x14ac:dyDescent="0.15">
      <c r="A54" s="3"/>
      <c r="D54" s="10">
        <f>'Monthly Summary'!AA54</f>
        <v>424327.84507126082</v>
      </c>
      <c r="E54" s="80">
        <f>'Monthly Summary'!AB54</f>
        <v>4.3230815243301281E-2</v>
      </c>
      <c r="F54" s="11">
        <f>SUM(F44:F53)</f>
        <v>494406.85058878362</v>
      </c>
      <c r="G54" s="64">
        <f t="shared" si="4"/>
        <v>4.3800419913956098E-2</v>
      </c>
      <c r="H54" s="11">
        <f>SUM(H44:H53)</f>
        <v>517955.33012999845</v>
      </c>
      <c r="I54" s="64">
        <f t="shared" si="5"/>
        <v>4.2884724708304241E-2</v>
      </c>
      <c r="J54" s="11">
        <f>SUM(J44:J53)</f>
        <v>543152.20323909831</v>
      </c>
      <c r="K54" s="64">
        <f t="shared" si="6"/>
        <v>4.2028906210440489E-2</v>
      </c>
      <c r="L54" s="11">
        <f>SUM(L44:L53)</f>
        <v>570112.85746583529</v>
      </c>
      <c r="M54" s="64">
        <f t="shared" si="7"/>
        <v>4.1229075838605217E-2</v>
      </c>
    </row>
    <row r="55" spans="1:13" x14ac:dyDescent="0.15">
      <c r="A55" s="74" t="str">
        <f>'Monthly Summary'!A55</f>
        <v>Non-Controllable Expenses:</v>
      </c>
      <c r="D55" s="10"/>
      <c r="E55" s="80"/>
      <c r="F55" s="11"/>
      <c r="G55" s="64"/>
      <c r="H55" s="11"/>
      <c r="I55" s="64"/>
      <c r="J55" s="11"/>
      <c r="K55" s="64"/>
      <c r="L55" s="11"/>
      <c r="M55" s="64"/>
    </row>
    <row r="56" spans="1:13" x14ac:dyDescent="0.15">
      <c r="A56" s="3" t="str">
        <f>'Monthly Summary'!A56</f>
        <v>Rent Expense</v>
      </c>
      <c r="D56" s="10">
        <f>'Monthly Summary'!AA56</f>
        <v>360000.40607745672</v>
      </c>
      <c r="E56" s="80">
        <f>'Monthly Summary'!AB56</f>
        <v>3.6677091129935925E-2</v>
      </c>
      <c r="F56" s="11">
        <f>(D56*0.05)+D56</f>
        <v>378000.42638132954</v>
      </c>
      <c r="G56" s="64">
        <f t="shared" ref="G56:G65" si="8">F56/F$19</f>
        <v>3.3487758884084312E-2</v>
      </c>
      <c r="H56" s="11">
        <f>(F56*0.05)+F56</f>
        <v>396900.44770039601</v>
      </c>
      <c r="I56" s="64">
        <f t="shared" ref="I56:I65" si="9">H56/H$19</f>
        <v>3.2861842414020917E-2</v>
      </c>
      <c r="J56" s="11">
        <f>(H56*0.05)+H56</f>
        <v>416745.47008541581</v>
      </c>
      <c r="K56" s="64">
        <f t="shared" ref="K56:K65" si="10">J56/J$19</f>
        <v>3.224760236889903E-2</v>
      </c>
      <c r="L56" s="11">
        <f>(J56*0.05)+J56</f>
        <v>437582.74358968658</v>
      </c>
      <c r="M56" s="64">
        <f t="shared" ref="M56:M65" si="11">L56/L$19</f>
        <v>3.1644843446115872E-2</v>
      </c>
    </row>
    <row r="57" spans="1:13" x14ac:dyDescent="0.15">
      <c r="A57" s="3" t="str">
        <f>'Monthly Summary'!A57</f>
        <v>Telephone Expense</v>
      </c>
      <c r="D57" s="10">
        <f>'Monthly Summary'!AA57</f>
        <v>6000.0067679576123</v>
      </c>
      <c r="E57" s="80">
        <f>'Monthly Summary'!AB57</f>
        <v>6.1128485216559885E-4</v>
      </c>
      <c r="F57" s="11">
        <v>6000</v>
      </c>
      <c r="G57" s="64">
        <f t="shared" si="8"/>
        <v>5.3155112873288059E-4</v>
      </c>
      <c r="H57" s="11">
        <v>6000</v>
      </c>
      <c r="I57" s="64">
        <f t="shared" si="9"/>
        <v>4.9677710273827135E-4</v>
      </c>
      <c r="J57" s="11">
        <v>6000</v>
      </c>
      <c r="K57" s="64">
        <f t="shared" si="10"/>
        <v>4.6427766611053389E-4</v>
      </c>
      <c r="L57" s="11">
        <v>6000</v>
      </c>
      <c r="M57" s="64">
        <f t="shared" si="11"/>
        <v>4.3390436085096628E-4</v>
      </c>
    </row>
    <row r="58" spans="1:13" x14ac:dyDescent="0.15">
      <c r="A58" s="3" t="str">
        <f>'Monthly Summary'!A58</f>
        <v>Utilities</v>
      </c>
      <c r="D58" s="10">
        <f>'Monthly Summary'!AA58</f>
        <v>35003.706150534534</v>
      </c>
      <c r="E58" s="80">
        <f>'Monthly Summary'!AB58</f>
        <v>3.5662018672624148E-3</v>
      </c>
      <c r="F58" s="11">
        <f>(D58*0.05)+D58</f>
        <v>36753.891458061262</v>
      </c>
      <c r="G58" s="64">
        <f t="shared" si="8"/>
        <v>3.2560954149763737E-3</v>
      </c>
      <c r="H58" s="11">
        <f>(F58*0.05)+F58</f>
        <v>38591.586030964325</v>
      </c>
      <c r="I58" s="64">
        <f t="shared" si="9"/>
        <v>3.1952360497561998E-3</v>
      </c>
      <c r="J58" s="11">
        <f>(H58*0.05)+H58</f>
        <v>40521.165332512544</v>
      </c>
      <c r="K58" s="64">
        <f t="shared" si="10"/>
        <v>3.1355120114430002E-3</v>
      </c>
      <c r="L58" s="11">
        <f>(J58*0.05)+J58</f>
        <v>42547.223599138175</v>
      </c>
      <c r="M58" s="64">
        <f t="shared" si="11"/>
        <v>3.0769043102945332E-3</v>
      </c>
    </row>
    <row r="59" spans="1:13" x14ac:dyDescent="0.15">
      <c r="A59" s="3" t="str">
        <f>'Monthly Summary'!A59</f>
        <v>Security Systems</v>
      </c>
      <c r="D59" s="10">
        <f>'Monthly Summary'!AA59</f>
        <v>24000.027071830449</v>
      </c>
      <c r="E59" s="80">
        <f>'Monthly Summary'!AB59</f>
        <v>2.4451394086623954E-3</v>
      </c>
      <c r="F59" s="11">
        <v>24000</v>
      </c>
      <c r="G59" s="64">
        <f t="shared" si="8"/>
        <v>2.1262045149315224E-3</v>
      </c>
      <c r="H59" s="11">
        <v>24000</v>
      </c>
      <c r="I59" s="64">
        <f t="shared" si="9"/>
        <v>1.9871084109530854E-3</v>
      </c>
      <c r="J59" s="11">
        <v>24000</v>
      </c>
      <c r="K59" s="64">
        <f t="shared" si="10"/>
        <v>1.8571106644421356E-3</v>
      </c>
      <c r="L59" s="11">
        <v>24000</v>
      </c>
      <c r="M59" s="64">
        <f t="shared" si="11"/>
        <v>1.7356174434038651E-3</v>
      </c>
    </row>
    <row r="60" spans="1:13" x14ac:dyDescent="0.15">
      <c r="A60" s="3" t="str">
        <f>'Monthly Summary'!A60</f>
        <v>Property Tax</v>
      </c>
      <c r="D60" s="10">
        <f>'Monthly Summary'!AA60</f>
        <v>15600.01759668979</v>
      </c>
      <c r="E60" s="80">
        <f>'Monthly Summary'!AB60</f>
        <v>1.5893406156305566E-3</v>
      </c>
      <c r="F60" s="11">
        <v>15600</v>
      </c>
      <c r="G60" s="64">
        <f t="shared" si="8"/>
        <v>1.3820329347054895E-3</v>
      </c>
      <c r="H60" s="11">
        <v>15600</v>
      </c>
      <c r="I60" s="64">
        <f t="shared" si="9"/>
        <v>1.2916204671195055E-3</v>
      </c>
      <c r="J60" s="11">
        <v>15600</v>
      </c>
      <c r="K60" s="64">
        <f t="shared" si="10"/>
        <v>1.2071219318873882E-3</v>
      </c>
      <c r="L60" s="11">
        <v>15600</v>
      </c>
      <c r="M60" s="64">
        <f t="shared" si="11"/>
        <v>1.1281513382125122E-3</v>
      </c>
    </row>
    <row r="61" spans="1:13" x14ac:dyDescent="0.15">
      <c r="A61" s="3" t="str">
        <f>'Monthly Summary'!A61</f>
        <v>General Liability Insurance</v>
      </c>
      <c r="D61" s="10">
        <f>'Monthly Summary'!AA61</f>
        <v>14400.016243098267</v>
      </c>
      <c r="E61" s="80">
        <f>'Monthly Summary'!AB61</f>
        <v>1.467083645197437E-3</v>
      </c>
      <c r="F61" s="11">
        <v>30000</v>
      </c>
      <c r="G61" s="64">
        <f t="shared" si="8"/>
        <v>2.657755643664403E-3</v>
      </c>
      <c r="H61" s="11">
        <v>30000</v>
      </c>
      <c r="I61" s="64">
        <f t="shared" si="9"/>
        <v>2.4838855136913563E-3</v>
      </c>
      <c r="J61" s="11">
        <v>30000</v>
      </c>
      <c r="K61" s="64">
        <f t="shared" si="10"/>
        <v>2.3213883305526696E-3</v>
      </c>
      <c r="L61" s="11">
        <v>30000</v>
      </c>
      <c r="M61" s="64">
        <f t="shared" si="11"/>
        <v>2.1695218042548313E-3</v>
      </c>
    </row>
    <row r="62" spans="1:13" x14ac:dyDescent="0.15">
      <c r="A62" s="3" t="str">
        <f>'Monthly Summary'!A62</f>
        <v>Computer and Internet Expenses</v>
      </c>
      <c r="D62" s="10">
        <f>'Monthly Summary'!AA62</f>
        <v>6000.0067679576123</v>
      </c>
      <c r="E62" s="80">
        <f>'Monthly Summary'!AB62</f>
        <v>6.1128485216559885E-4</v>
      </c>
      <c r="F62" s="11">
        <v>6000</v>
      </c>
      <c r="G62" s="64">
        <f t="shared" si="8"/>
        <v>5.3155112873288059E-4</v>
      </c>
      <c r="H62" s="11">
        <v>6000</v>
      </c>
      <c r="I62" s="64">
        <f t="shared" si="9"/>
        <v>4.9677710273827135E-4</v>
      </c>
      <c r="J62" s="11">
        <v>6000</v>
      </c>
      <c r="K62" s="64">
        <f t="shared" si="10"/>
        <v>4.6427766611053389E-4</v>
      </c>
      <c r="L62" s="11">
        <v>6000</v>
      </c>
      <c r="M62" s="64">
        <f t="shared" si="11"/>
        <v>4.3390436085096628E-4</v>
      </c>
    </row>
    <row r="63" spans="1:13" x14ac:dyDescent="0.15">
      <c r="A63" s="3" t="str">
        <f>'Monthly Summary'!A63</f>
        <v>Landscaping</v>
      </c>
      <c r="D63" s="10">
        <f>'Monthly Summary'!AA63</f>
        <v>1920.002165746436</v>
      </c>
      <c r="E63" s="80">
        <f>'Monthly Summary'!AB63</f>
        <v>1.9561115269299163E-4</v>
      </c>
      <c r="F63" s="11">
        <v>1920</v>
      </c>
      <c r="G63" s="64">
        <f t="shared" si="8"/>
        <v>1.7009636119452178E-4</v>
      </c>
      <c r="H63" s="11">
        <v>1920</v>
      </c>
      <c r="I63" s="64">
        <f t="shared" si="9"/>
        <v>1.5896867287624683E-4</v>
      </c>
      <c r="J63" s="11">
        <v>1920</v>
      </c>
      <c r="K63" s="64">
        <f t="shared" si="10"/>
        <v>1.4856885315537086E-4</v>
      </c>
      <c r="L63" s="11">
        <v>1920</v>
      </c>
      <c r="M63" s="64">
        <f t="shared" si="11"/>
        <v>1.388493954723092E-4</v>
      </c>
    </row>
    <row r="64" spans="1:13" x14ac:dyDescent="0.15">
      <c r="A64" s="3" t="str">
        <f>'Monthly Summary'!A64</f>
        <v>Valet Parking</v>
      </c>
      <c r="D64" s="10">
        <f>'Monthly Summary'!AA64</f>
        <v>30000.033839788059</v>
      </c>
      <c r="E64" s="80">
        <f>'Monthly Summary'!AB64</f>
        <v>3.0564242608279936E-3</v>
      </c>
      <c r="F64" s="11">
        <v>30000</v>
      </c>
      <c r="G64" s="64">
        <f t="shared" si="8"/>
        <v>2.657755643664403E-3</v>
      </c>
      <c r="H64" s="11">
        <v>30000</v>
      </c>
      <c r="I64" s="64">
        <f t="shared" si="9"/>
        <v>2.4838855136913563E-3</v>
      </c>
      <c r="J64" s="11">
        <v>30000</v>
      </c>
      <c r="K64" s="64">
        <f t="shared" si="10"/>
        <v>2.3213883305526696E-3</v>
      </c>
      <c r="L64" s="11">
        <v>30000</v>
      </c>
      <c r="M64" s="64">
        <f t="shared" si="11"/>
        <v>2.1695218042548313E-3</v>
      </c>
    </row>
    <row r="65" spans="1:13" x14ac:dyDescent="0.15">
      <c r="A65" s="13" t="str">
        <f>'Monthly Summary'!A65</f>
        <v>Total Non-Controllable Expenses</v>
      </c>
      <c r="D65" s="10">
        <f>'Monthly Summary'!AA65</f>
        <v>492924.22268105939</v>
      </c>
      <c r="E65" s="80">
        <f>'Monthly Summary'!AB65</f>
        <v>5.0219461784540904E-2</v>
      </c>
      <c r="F65" s="11">
        <f>SUM(F56:F64)</f>
        <v>528274.31783939083</v>
      </c>
      <c r="G65" s="64">
        <f t="shared" si="8"/>
        <v>4.6800801654686787E-2</v>
      </c>
      <c r="H65" s="11">
        <f>SUM(H56:H64)</f>
        <v>549012.03373136034</v>
      </c>
      <c r="I65" s="64">
        <f t="shared" si="9"/>
        <v>4.5456101247585208E-2</v>
      </c>
      <c r="J65" s="11">
        <f>SUM(J56:J64)</f>
        <v>570786.63541792834</v>
      </c>
      <c r="K65" s="64">
        <f t="shared" si="10"/>
        <v>4.416724782315333E-2</v>
      </c>
      <c r="L65" s="11">
        <f>SUM(L56:L64)</f>
        <v>593649.96718882478</v>
      </c>
      <c r="M65" s="64">
        <f t="shared" si="11"/>
        <v>4.2931218263710685E-2</v>
      </c>
    </row>
    <row r="66" spans="1:13" x14ac:dyDescent="0.15">
      <c r="A66" s="13"/>
      <c r="D66" s="10"/>
      <c r="E66" s="80"/>
      <c r="F66" s="11"/>
      <c r="G66" s="64"/>
      <c r="H66" s="11"/>
      <c r="I66" s="64"/>
      <c r="J66" s="11"/>
      <c r="K66" s="64"/>
      <c r="L66" s="11"/>
      <c r="M66" s="64"/>
    </row>
    <row r="67" spans="1:13" x14ac:dyDescent="0.15">
      <c r="A67" s="3" t="str">
        <f>'Monthly Summary'!A67</f>
        <v>Management Fee</v>
      </c>
      <c r="D67" s="10">
        <f>'Monthly Summary'!AA67</f>
        <v>0</v>
      </c>
      <c r="E67" s="80">
        <f>'Monthly Summary'!AB67</f>
        <v>0</v>
      </c>
      <c r="F67" s="11">
        <v>0</v>
      </c>
      <c r="G67" s="64">
        <f>F67/F$19</f>
        <v>0</v>
      </c>
      <c r="H67" s="11">
        <v>0</v>
      </c>
      <c r="I67" s="64">
        <f>H67/H$19</f>
        <v>0</v>
      </c>
      <c r="J67" s="11">
        <v>0</v>
      </c>
      <c r="K67" s="64">
        <f>J67/J$19</f>
        <v>0</v>
      </c>
      <c r="L67" s="11">
        <v>0</v>
      </c>
      <c r="M67" s="64">
        <f>L67/L$19</f>
        <v>0</v>
      </c>
    </row>
    <row r="68" spans="1:13" x14ac:dyDescent="0.15">
      <c r="A68" s="36" t="str">
        <f>'Monthly Summary'!A68</f>
        <v>Total Expenses</v>
      </c>
      <c r="D68" s="10">
        <f>'Monthly Summary'!AA68</f>
        <v>6047297.3879891839</v>
      </c>
      <c r="E68" s="80">
        <f>'Monthly Summary'!AB68</f>
        <v>0.61610285334339732</v>
      </c>
      <c r="F68" s="11">
        <f>F65+F54+F42+F31</f>
        <v>6894467.8909273278</v>
      </c>
      <c r="G68" s="64">
        <f>F68/F$19</f>
        <v>0.61079369823917062</v>
      </c>
      <c r="H68" s="11">
        <f>H65+H54+H42+H31</f>
        <v>7327162.1569354525</v>
      </c>
      <c r="I68" s="64">
        <f>H68/H$19</f>
        <v>0.60666106460264946</v>
      </c>
      <c r="J68" s="11">
        <f>J65+J54+J42+J31</f>
        <v>7789730.2672463059</v>
      </c>
      <c r="K68" s="64">
        <f>J68/J$19</f>
        <v>0.60276629801795012</v>
      </c>
      <c r="L68" s="11">
        <f>L65+L54+L42+L31</f>
        <v>8284242.6532451911</v>
      </c>
      <c r="M68" s="64">
        <f>L68/L$19</f>
        <v>0.59909483559844456</v>
      </c>
    </row>
    <row r="69" spans="1:13" x14ac:dyDescent="0.15">
      <c r="D69" s="10"/>
      <c r="E69" s="80"/>
      <c r="F69" s="11"/>
      <c r="G69" s="64"/>
      <c r="H69" s="11"/>
      <c r="I69" s="64"/>
      <c r="J69" s="11"/>
      <c r="K69" s="64"/>
      <c r="L69" s="11"/>
      <c r="M69" s="64"/>
    </row>
    <row r="70" spans="1:13" s="102" customFormat="1" x14ac:dyDescent="0.15">
      <c r="A70" s="102" t="str">
        <f>'Monthly Summary'!A70</f>
        <v>EBIDTA</v>
      </c>
      <c r="D70" s="103">
        <f>'Monthly Summary'!AA70</f>
        <v>1667718.5987012354</v>
      </c>
      <c r="E70" s="104">
        <f>'Monthly Summary'!AB70</f>
        <v>0.16990832785475724</v>
      </c>
      <c r="F70" s="105">
        <f>F19-F24-F68</f>
        <v>1977807.2262923811</v>
      </c>
      <c r="G70" s="106">
        <f>F70/F$19</f>
        <v>0.1752176105919605</v>
      </c>
      <c r="H70" s="105">
        <f>H19-H24-H68</f>
        <v>2166163.7841871073</v>
      </c>
      <c r="I70" s="106">
        <f>H70/H$19</f>
        <v>0.17935009479417352</v>
      </c>
      <c r="J70" s="105">
        <f>J19-J24-J68</f>
        <v>2368128.4897548333</v>
      </c>
      <c r="K70" s="106">
        <f>J70/J$19</f>
        <v>0.18324486137887291</v>
      </c>
      <c r="L70" s="105">
        <f>L19-L24-L68</f>
        <v>2584666.2167460294</v>
      </c>
      <c r="M70" s="106">
        <f>L70/L$19</f>
        <v>0.1869163237983785</v>
      </c>
    </row>
  </sheetData>
  <printOptions horizontalCentered="1"/>
  <pageMargins left="1.22" right="0.75" top="1" bottom="1" header="0.5" footer="0.5"/>
  <pageSetup scale="8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2:P50"/>
  <sheetViews>
    <sheetView showGridLines="0" topLeftCell="A4" zoomScale="130" zoomScaleNormal="130" workbookViewId="0">
      <selection activeCell="P29" sqref="A4:P29"/>
    </sheetView>
  </sheetViews>
  <sheetFormatPr baseColWidth="10" defaultColWidth="8.83203125" defaultRowHeight="13" x14ac:dyDescent="0.15"/>
  <cols>
    <col min="1" max="1" width="21.6640625" bestFit="1" customWidth="1"/>
    <col min="2" max="2" width="11.33203125" bestFit="1" customWidth="1"/>
    <col min="3" max="3" width="12" customWidth="1"/>
    <col min="4" max="4" width="11.5" customWidth="1"/>
    <col min="5" max="5" width="2.6640625" bestFit="1" customWidth="1"/>
    <col min="6" max="6" width="12.5" bestFit="1" customWidth="1"/>
    <col min="7" max="7" width="16" customWidth="1"/>
    <col min="8" max="8" width="16.5" hidden="1" customWidth="1"/>
    <col min="9" max="9" width="11.33203125" bestFit="1" customWidth="1"/>
    <col min="10" max="10" width="9.83203125" bestFit="1" customWidth="1"/>
    <col min="11" max="11" width="8.83203125" bestFit="1" customWidth="1"/>
    <col min="12" max="12" width="10.83203125" bestFit="1" customWidth="1"/>
    <col min="14" max="14" width="9.83203125" bestFit="1" customWidth="1"/>
  </cols>
  <sheetData>
    <row r="2" spans="1:12" ht="24" x14ac:dyDescent="0.25">
      <c r="A2" s="43" t="s">
        <v>126</v>
      </c>
    </row>
    <row r="3" spans="1:12" s="13" customFormat="1" ht="11" x14ac:dyDescent="0.15">
      <c r="A3" s="44" t="s">
        <v>25</v>
      </c>
    </row>
    <row r="4" spans="1:12" s="13" customFormat="1" ht="11" x14ac:dyDescent="0.15">
      <c r="A4" s="65" t="s">
        <v>62</v>
      </c>
      <c r="B4" s="13">
        <v>120</v>
      </c>
    </row>
    <row r="5" spans="1:12" s="13" customFormat="1" ht="11" x14ac:dyDescent="0.15">
      <c r="A5" s="65" t="s">
        <v>63</v>
      </c>
      <c r="B5" s="13">
        <v>100</v>
      </c>
    </row>
    <row r="6" spans="1:12" s="13" customFormat="1" ht="11" x14ac:dyDescent="0.15">
      <c r="A6" s="65" t="s">
        <v>57</v>
      </c>
      <c r="B6" s="13">
        <v>100</v>
      </c>
    </row>
    <row r="7" spans="1:12" s="13" customFormat="1" ht="11" x14ac:dyDescent="0.15">
      <c r="A7" s="13" t="s">
        <v>135</v>
      </c>
      <c r="B7" s="13">
        <v>120</v>
      </c>
    </row>
    <row r="8" spans="1:12" s="13" customFormat="1" ht="11" x14ac:dyDescent="0.15">
      <c r="A8" s="13" t="s">
        <v>68</v>
      </c>
      <c r="B8" s="13">
        <v>51</v>
      </c>
    </row>
    <row r="9" spans="1:12" s="13" customFormat="1" ht="11" x14ac:dyDescent="0.15">
      <c r="A9" s="44" t="s">
        <v>26</v>
      </c>
      <c r="B9" s="48" t="s">
        <v>64</v>
      </c>
      <c r="C9" s="44" t="s">
        <v>27</v>
      </c>
      <c r="D9" s="44" t="s">
        <v>28</v>
      </c>
    </row>
    <row r="10" spans="1:12" s="13" customFormat="1" ht="11" x14ac:dyDescent="0.15">
      <c r="A10" s="65" t="s">
        <v>58</v>
      </c>
      <c r="B10" s="45">
        <f>C10+D10</f>
        <v>60</v>
      </c>
      <c r="C10" s="46">
        <v>30</v>
      </c>
      <c r="D10" s="46">
        <v>30</v>
      </c>
    </row>
    <row r="11" spans="1:12" s="13" customFormat="1" ht="11" x14ac:dyDescent="0.15">
      <c r="A11" s="13" t="s">
        <v>29</v>
      </c>
      <c r="B11" s="45">
        <f t="shared" ref="B11" si="0">C11+D11</f>
        <v>70</v>
      </c>
      <c r="C11" s="46">
        <v>40</v>
      </c>
      <c r="D11" s="46">
        <v>30</v>
      </c>
    </row>
    <row r="12" spans="1:12" s="13" customFormat="1" ht="11" x14ac:dyDescent="0.15">
      <c r="A12" s="13" t="s">
        <v>136</v>
      </c>
      <c r="B12" s="45">
        <v>40</v>
      </c>
      <c r="C12" s="46">
        <v>0</v>
      </c>
      <c r="D12" s="46">
        <v>40</v>
      </c>
    </row>
    <row r="13" spans="1:12" s="13" customFormat="1" ht="3" customHeight="1" x14ac:dyDescent="0.15">
      <c r="B13" s="45"/>
      <c r="C13" s="45"/>
      <c r="D13" s="46"/>
      <c r="E13" s="46"/>
    </row>
    <row r="14" spans="1:12" s="13" customFormat="1" ht="11" x14ac:dyDescent="0.15">
      <c r="A14" s="20" t="s">
        <v>30</v>
      </c>
    </row>
    <row r="15" spans="1:12" s="13" customFormat="1" ht="24" x14ac:dyDescent="0.15">
      <c r="A15" s="47" t="s">
        <v>31</v>
      </c>
      <c r="B15" s="47" t="s">
        <v>59</v>
      </c>
      <c r="C15" s="47" t="s">
        <v>32</v>
      </c>
      <c r="D15" s="47" t="s">
        <v>123</v>
      </c>
      <c r="F15" s="48" t="s">
        <v>60</v>
      </c>
      <c r="G15" s="48" t="s">
        <v>71</v>
      </c>
      <c r="H15" s="48" t="s">
        <v>137</v>
      </c>
      <c r="I15" s="49" t="s">
        <v>61</v>
      </c>
      <c r="J15" s="49" t="s">
        <v>33</v>
      </c>
      <c r="K15" s="49" t="s">
        <v>138</v>
      </c>
      <c r="L15" s="20" t="s">
        <v>124</v>
      </c>
    </row>
    <row r="16" spans="1:12" s="13" customFormat="1" ht="11" x14ac:dyDescent="0.15">
      <c r="A16" s="13" t="s">
        <v>34</v>
      </c>
      <c r="B16" s="13">
        <v>0</v>
      </c>
      <c r="C16" s="8">
        <v>1</v>
      </c>
      <c r="D16" s="66">
        <v>0.5</v>
      </c>
      <c r="F16" s="29">
        <f t="shared" ref="F16:F22" si="1">($B$5*$C$10)*B16</f>
        <v>0</v>
      </c>
      <c r="G16" s="29">
        <f t="shared" ref="G16:G22" si="2">($B$6*$C$11)*C16</f>
        <v>4000</v>
      </c>
      <c r="H16" s="29">
        <f t="shared" ref="H16:H22" si="3">($B$7*$C$12)*D16</f>
        <v>0</v>
      </c>
      <c r="I16" s="29">
        <f t="shared" ref="I16:I22" si="4">($B$5*$D$10)*B16</f>
        <v>0</v>
      </c>
      <c r="J16" s="29">
        <f>(($B$7*C16)*$D$11)</f>
        <v>3600</v>
      </c>
      <c r="K16" s="29">
        <f t="shared" ref="K16:K22" si="5">(($B$7*D16)*$D$12)</f>
        <v>2400</v>
      </c>
      <c r="L16" s="50">
        <f>SUM(F16:K16)</f>
        <v>10000</v>
      </c>
    </row>
    <row r="17" spans="1:16" s="13" customFormat="1" ht="11" x14ac:dyDescent="0.15">
      <c r="A17" s="13" t="s">
        <v>35</v>
      </c>
      <c r="B17" s="13">
        <v>0</v>
      </c>
      <c r="C17" s="8">
        <v>1.5</v>
      </c>
      <c r="D17" s="8">
        <v>2</v>
      </c>
      <c r="F17" s="29">
        <f t="shared" si="1"/>
        <v>0</v>
      </c>
      <c r="G17" s="29">
        <f t="shared" si="2"/>
        <v>6000</v>
      </c>
      <c r="H17" s="29">
        <f t="shared" si="3"/>
        <v>0</v>
      </c>
      <c r="I17" s="29">
        <f t="shared" si="4"/>
        <v>0</v>
      </c>
      <c r="J17" s="29">
        <f t="shared" ref="J17:J22" si="6">(($B$7*C17)*$D$11)</f>
        <v>5400</v>
      </c>
      <c r="K17" s="29">
        <f t="shared" si="5"/>
        <v>9600</v>
      </c>
      <c r="L17" s="50">
        <f t="shared" ref="L17:L22" si="7">SUM(F17:K17)</f>
        <v>21000</v>
      </c>
    </row>
    <row r="18" spans="1:16" s="13" customFormat="1" ht="11" x14ac:dyDescent="0.15">
      <c r="A18" s="13" t="s">
        <v>36</v>
      </c>
      <c r="B18" s="13">
        <v>0</v>
      </c>
      <c r="C18" s="8">
        <v>1.5</v>
      </c>
      <c r="D18" s="8">
        <v>1</v>
      </c>
      <c r="F18" s="29">
        <f t="shared" si="1"/>
        <v>0</v>
      </c>
      <c r="G18" s="29">
        <f t="shared" si="2"/>
        <v>6000</v>
      </c>
      <c r="H18" s="29">
        <f t="shared" si="3"/>
        <v>0</v>
      </c>
      <c r="I18" s="29">
        <f t="shared" si="4"/>
        <v>0</v>
      </c>
      <c r="J18" s="29">
        <f t="shared" si="6"/>
        <v>5400</v>
      </c>
      <c r="K18" s="29">
        <f t="shared" si="5"/>
        <v>4800</v>
      </c>
      <c r="L18" s="50">
        <f t="shared" si="7"/>
        <v>16200</v>
      </c>
    </row>
    <row r="19" spans="1:16" s="13" customFormat="1" ht="11" x14ac:dyDescent="0.15">
      <c r="A19" s="13" t="s">
        <v>37</v>
      </c>
      <c r="B19" s="13">
        <v>0</v>
      </c>
      <c r="C19" s="8">
        <v>2</v>
      </c>
      <c r="D19" s="8">
        <v>2</v>
      </c>
      <c r="F19" s="29">
        <f t="shared" si="1"/>
        <v>0</v>
      </c>
      <c r="G19" s="29">
        <f t="shared" si="2"/>
        <v>8000</v>
      </c>
      <c r="H19" s="29">
        <f t="shared" si="3"/>
        <v>0</v>
      </c>
      <c r="I19" s="29">
        <f t="shared" si="4"/>
        <v>0</v>
      </c>
      <c r="J19" s="29">
        <f t="shared" si="6"/>
        <v>7200</v>
      </c>
      <c r="K19" s="29">
        <f t="shared" si="5"/>
        <v>9600</v>
      </c>
      <c r="L19" s="50">
        <f t="shared" si="7"/>
        <v>24800</v>
      </c>
    </row>
    <row r="20" spans="1:16" s="13" customFormat="1" ht="11" x14ac:dyDescent="0.15">
      <c r="A20" s="13" t="s">
        <v>38</v>
      </c>
      <c r="B20" s="13">
        <v>0</v>
      </c>
      <c r="C20" s="8">
        <v>2</v>
      </c>
      <c r="D20" s="8">
        <v>2</v>
      </c>
      <c r="F20" s="29">
        <f t="shared" si="1"/>
        <v>0</v>
      </c>
      <c r="G20" s="29">
        <f t="shared" si="2"/>
        <v>8000</v>
      </c>
      <c r="H20" s="29">
        <f t="shared" si="3"/>
        <v>0</v>
      </c>
      <c r="I20" s="29">
        <f t="shared" si="4"/>
        <v>0</v>
      </c>
      <c r="J20" s="29">
        <f t="shared" si="6"/>
        <v>7200</v>
      </c>
      <c r="K20" s="29">
        <f t="shared" si="5"/>
        <v>9600</v>
      </c>
      <c r="L20" s="50">
        <f t="shared" si="7"/>
        <v>24800</v>
      </c>
    </row>
    <row r="21" spans="1:16" s="13" customFormat="1" ht="11" x14ac:dyDescent="0.15">
      <c r="A21" s="13" t="s">
        <v>39</v>
      </c>
      <c r="B21" s="13">
        <v>2</v>
      </c>
      <c r="C21" s="8">
        <v>2</v>
      </c>
      <c r="D21" s="8">
        <v>2</v>
      </c>
      <c r="F21" s="29">
        <f t="shared" si="1"/>
        <v>6000</v>
      </c>
      <c r="G21" s="29">
        <f t="shared" si="2"/>
        <v>8000</v>
      </c>
      <c r="H21" s="29">
        <f t="shared" si="3"/>
        <v>0</v>
      </c>
      <c r="I21" s="29">
        <f t="shared" si="4"/>
        <v>6000</v>
      </c>
      <c r="J21" s="29">
        <f t="shared" si="6"/>
        <v>7200</v>
      </c>
      <c r="K21" s="29">
        <f t="shared" si="5"/>
        <v>9600</v>
      </c>
      <c r="L21" s="50">
        <f t="shared" si="7"/>
        <v>36800</v>
      </c>
    </row>
    <row r="22" spans="1:16" s="13" customFormat="1" ht="11" x14ac:dyDescent="0.15">
      <c r="A22" s="13" t="s">
        <v>40</v>
      </c>
      <c r="B22" s="13">
        <v>2</v>
      </c>
      <c r="C22" s="8">
        <v>2</v>
      </c>
      <c r="D22" s="8">
        <v>2</v>
      </c>
      <c r="F22" s="29">
        <f t="shared" si="1"/>
        <v>6000</v>
      </c>
      <c r="G22" s="29">
        <f t="shared" si="2"/>
        <v>8000</v>
      </c>
      <c r="H22" s="29">
        <f t="shared" si="3"/>
        <v>0</v>
      </c>
      <c r="I22" s="29">
        <f t="shared" si="4"/>
        <v>6000</v>
      </c>
      <c r="J22" s="29">
        <f t="shared" si="6"/>
        <v>7200</v>
      </c>
      <c r="K22" s="29">
        <f t="shared" si="5"/>
        <v>9600</v>
      </c>
      <c r="L22" s="50">
        <f t="shared" si="7"/>
        <v>36800</v>
      </c>
    </row>
    <row r="23" spans="1:16" s="13" customFormat="1" ht="25" thickBot="1" x14ac:dyDescent="0.2">
      <c r="A23" s="51"/>
      <c r="B23" s="51"/>
      <c r="C23" s="116"/>
      <c r="D23" s="117" t="s">
        <v>69</v>
      </c>
      <c r="E23" s="53"/>
      <c r="F23" s="54">
        <f>SUM(F16:F22)</f>
        <v>12000</v>
      </c>
      <c r="G23" s="54">
        <f>SUM(G16:G22)</f>
        <v>48000</v>
      </c>
      <c r="H23" s="54">
        <f t="shared" ref="H23:K23" si="8">SUM(H16:H22)</f>
        <v>0</v>
      </c>
      <c r="I23" s="54">
        <f t="shared" si="8"/>
        <v>12000</v>
      </c>
      <c r="J23" s="54">
        <f t="shared" si="8"/>
        <v>43200</v>
      </c>
      <c r="K23" s="54">
        <f t="shared" si="8"/>
        <v>55200</v>
      </c>
      <c r="L23" s="50"/>
    </row>
    <row r="24" spans="1:16" s="13" customFormat="1" ht="15" thickTop="1" x14ac:dyDescent="0.3">
      <c r="D24" s="115">
        <f>SUM(F23:K23)</f>
        <v>170400</v>
      </c>
      <c r="M24" s="111" t="s">
        <v>162</v>
      </c>
      <c r="N24" s="107"/>
      <c r="O24" s="107"/>
    </row>
    <row r="25" spans="1:16" s="13" customFormat="1" ht="3" customHeight="1" x14ac:dyDescent="0.15">
      <c r="M25" s="107"/>
      <c r="N25" s="107"/>
      <c r="O25" s="107"/>
    </row>
    <row r="26" spans="1:16" s="13" customFormat="1" ht="24" x14ac:dyDescent="0.15">
      <c r="A26" s="107"/>
      <c r="B26" s="107"/>
      <c r="C26" s="108" t="s">
        <v>41</v>
      </c>
      <c r="F26" s="48" t="s">
        <v>70</v>
      </c>
      <c r="G26" s="48" t="s">
        <v>71</v>
      </c>
      <c r="H26" s="48" t="s">
        <v>137</v>
      </c>
      <c r="I26" s="49" t="s">
        <v>61</v>
      </c>
      <c r="J26" s="49" t="s">
        <v>33</v>
      </c>
      <c r="K26" s="49" t="s">
        <v>138</v>
      </c>
      <c r="M26" s="107" t="s">
        <v>59</v>
      </c>
      <c r="N26" s="107" t="s">
        <v>32</v>
      </c>
      <c r="O26" s="107" t="s">
        <v>123</v>
      </c>
    </row>
    <row r="27" spans="1:16" s="13" customFormat="1" ht="11" x14ac:dyDescent="0.15">
      <c r="A27" s="107" t="s">
        <v>42</v>
      </c>
      <c r="B27" s="107"/>
      <c r="C27" s="109">
        <f>D24*B8</f>
        <v>8690400</v>
      </c>
      <c r="D27" s="57"/>
      <c r="F27" s="50">
        <f t="shared" ref="F27:K27" si="9">F23*$B$8</f>
        <v>612000</v>
      </c>
      <c r="G27" s="50">
        <f t="shared" si="9"/>
        <v>2448000</v>
      </c>
      <c r="H27" s="50">
        <f t="shared" si="9"/>
        <v>0</v>
      </c>
      <c r="I27" s="50">
        <f t="shared" si="9"/>
        <v>612000</v>
      </c>
      <c r="J27" s="50">
        <f t="shared" si="9"/>
        <v>2203200</v>
      </c>
      <c r="K27" s="50">
        <f t="shared" si="9"/>
        <v>2815200</v>
      </c>
      <c r="M27" s="112">
        <f>F27+I27</f>
        <v>1224000</v>
      </c>
      <c r="N27" s="112">
        <f>G27+J27</f>
        <v>4651200</v>
      </c>
      <c r="O27" s="112">
        <f>H27+K27</f>
        <v>2815200</v>
      </c>
      <c r="P27" s="50"/>
    </row>
    <row r="28" spans="1:16" s="13" customFormat="1" ht="12" thickBot="1" x14ac:dyDescent="0.2">
      <c r="A28" s="110" t="s">
        <v>43</v>
      </c>
      <c r="B28" s="110"/>
      <c r="C28" s="90">
        <f>SUM(C27:C27)</f>
        <v>8690400</v>
      </c>
      <c r="F28" s="59">
        <f t="shared" ref="F28:K28" si="10">SUM(F27:F27)</f>
        <v>612000</v>
      </c>
      <c r="G28" s="59">
        <f t="shared" si="10"/>
        <v>2448000</v>
      </c>
      <c r="H28" s="59">
        <f t="shared" si="10"/>
        <v>0</v>
      </c>
      <c r="I28" s="59">
        <f t="shared" si="10"/>
        <v>612000</v>
      </c>
      <c r="J28" s="59">
        <f t="shared" si="10"/>
        <v>2203200</v>
      </c>
      <c r="K28" s="59">
        <f t="shared" si="10"/>
        <v>2815200</v>
      </c>
    </row>
    <row r="29" spans="1:16" ht="14" thickTop="1" x14ac:dyDescent="0.15"/>
    <row r="31" spans="1:16" ht="23" x14ac:dyDescent="0.25">
      <c r="A31" s="114"/>
      <c r="B31" s="114"/>
      <c r="C31" s="114"/>
      <c r="D31" s="114"/>
      <c r="E31" s="114"/>
      <c r="F31" s="60"/>
      <c r="G31" s="60"/>
      <c r="H31" s="60"/>
    </row>
    <row r="32" spans="1:16" ht="16" x14ac:dyDescent="0.2">
      <c r="A32" s="61" t="s">
        <v>44</v>
      </c>
      <c r="B32" s="61"/>
      <c r="C32" s="62"/>
      <c r="D32" s="61"/>
      <c r="E32" s="61"/>
      <c r="F32" s="61"/>
      <c r="G32" s="61"/>
      <c r="H32" s="61"/>
    </row>
    <row r="34" spans="1:5" s="13" customFormat="1" ht="11" x14ac:dyDescent="0.15">
      <c r="A34" s="20" t="s">
        <v>125</v>
      </c>
    </row>
    <row r="35" spans="1:5" s="13" customFormat="1" ht="11" hidden="1" x14ac:dyDescent="0.15">
      <c r="A35" s="20" t="s">
        <v>54</v>
      </c>
    </row>
    <row r="36" spans="1:5" s="13" customFormat="1" ht="6" customHeight="1" x14ac:dyDescent="0.15">
      <c r="A36" s="20"/>
    </row>
    <row r="37" spans="1:5" s="13" customFormat="1" ht="11" x14ac:dyDescent="0.15">
      <c r="A37" s="13" t="s">
        <v>45</v>
      </c>
    </row>
    <row r="38" spans="1:5" s="13" customFormat="1" ht="11" x14ac:dyDescent="0.15">
      <c r="B38" s="13" t="s">
        <v>46</v>
      </c>
      <c r="D38" s="13" t="s">
        <v>139</v>
      </c>
    </row>
    <row r="39" spans="1:5" s="13" customFormat="1" ht="11" x14ac:dyDescent="0.15">
      <c r="B39" s="13" t="s">
        <v>38</v>
      </c>
      <c r="D39" s="13" t="s">
        <v>139</v>
      </c>
    </row>
    <row r="40" spans="1:5" s="13" customFormat="1" ht="11" x14ac:dyDescent="0.15">
      <c r="B40" s="13" t="s">
        <v>39</v>
      </c>
      <c r="D40" s="13" t="s">
        <v>140</v>
      </c>
    </row>
    <row r="41" spans="1:5" s="13" customFormat="1" ht="11" x14ac:dyDescent="0.15">
      <c r="B41" s="13" t="s">
        <v>40</v>
      </c>
      <c r="D41" s="13" t="s">
        <v>140</v>
      </c>
    </row>
    <row r="42" spans="1:5" s="13" customFormat="1" ht="11" x14ac:dyDescent="0.15"/>
    <row r="43" spans="1:5" s="13" customFormat="1" ht="11" x14ac:dyDescent="0.15">
      <c r="E43" s="63"/>
    </row>
    <row r="44" spans="1:5" s="13" customFormat="1" ht="11" x14ac:dyDescent="0.15">
      <c r="A44" s="20" t="s">
        <v>47</v>
      </c>
      <c r="E44" s="63"/>
    </row>
    <row r="45" spans="1:5" s="13" customFormat="1" ht="11" x14ac:dyDescent="0.15">
      <c r="E45" s="63"/>
    </row>
    <row r="46" spans="1:5" s="13" customFormat="1" ht="11" x14ac:dyDescent="0.15">
      <c r="A46" s="13" t="s">
        <v>48</v>
      </c>
      <c r="B46" s="13" t="s">
        <v>158</v>
      </c>
      <c r="E46" s="63"/>
    </row>
    <row r="47" spans="1:5" s="13" customFormat="1" ht="11" x14ac:dyDescent="0.15">
      <c r="A47" s="13" t="s">
        <v>49</v>
      </c>
      <c r="B47" s="13" t="s">
        <v>65</v>
      </c>
      <c r="E47" s="13">
        <v>15</v>
      </c>
    </row>
    <row r="48" spans="1:5" s="13" customFormat="1" ht="11" x14ac:dyDescent="0.15">
      <c r="A48" s="13" t="s">
        <v>50</v>
      </c>
      <c r="B48" s="13" t="s">
        <v>66</v>
      </c>
      <c r="E48" s="13">
        <v>13</v>
      </c>
    </row>
    <row r="49" spans="1:5" s="13" customFormat="1" ht="11" x14ac:dyDescent="0.15">
      <c r="A49" s="13" t="s">
        <v>52</v>
      </c>
      <c r="B49" s="13" t="s">
        <v>51</v>
      </c>
      <c r="E49" s="13">
        <v>8</v>
      </c>
    </row>
    <row r="50" spans="1:5" s="13" customFormat="1" ht="11" x14ac:dyDescent="0.15">
      <c r="A50" s="13" t="s">
        <v>53</v>
      </c>
      <c r="B50" s="13" t="s">
        <v>67</v>
      </c>
      <c r="E50" s="13">
        <v>5</v>
      </c>
    </row>
  </sheetData>
  <mergeCells count="1">
    <mergeCell ref="A31:E31"/>
  </mergeCells>
  <pageMargins left="0.7" right="0.7" top="0.75" bottom="0.75" header="0.3" footer="0.3"/>
  <pageSetup scale="8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6"/>
  <sheetViews>
    <sheetView showGridLines="0" tabSelected="1" workbookViewId="0">
      <selection activeCell="L16" sqref="A1:L16"/>
    </sheetView>
  </sheetViews>
  <sheetFormatPr baseColWidth="10" defaultColWidth="9.1640625" defaultRowHeight="25" x14ac:dyDescent="0.25"/>
  <cols>
    <col min="1" max="1" width="44.5" style="91" bestFit="1" customWidth="1"/>
    <col min="2" max="2" width="18.6640625" style="91" bestFit="1" customWidth="1"/>
    <col min="3" max="3" width="9.1640625" style="91"/>
    <col min="4" max="4" width="21.6640625" style="91" bestFit="1" customWidth="1"/>
    <col min="5" max="5" width="9.33203125" style="91" bestFit="1" customWidth="1"/>
    <col min="6" max="6" width="18.5" style="91" bestFit="1" customWidth="1"/>
    <col min="7" max="7" width="9.33203125" style="91" bestFit="1" customWidth="1"/>
    <col min="8" max="8" width="18.5" style="91" bestFit="1" customWidth="1"/>
    <col min="9" max="9" width="9.33203125" style="91" bestFit="1" customWidth="1"/>
    <col min="10" max="10" width="18.5" style="91" bestFit="1" customWidth="1"/>
    <col min="11" max="11" width="9.33203125" style="91" bestFit="1" customWidth="1"/>
    <col min="12" max="12" width="18.5" style="91" bestFit="1" customWidth="1"/>
    <col min="13" max="16384" width="9.1640625" style="91"/>
  </cols>
  <sheetData>
    <row r="1" spans="1:13" x14ac:dyDescent="0.25">
      <c r="B1" s="91" t="s">
        <v>147</v>
      </c>
    </row>
    <row r="2" spans="1:13" x14ac:dyDescent="0.25">
      <c r="A2" s="91" t="s">
        <v>141</v>
      </c>
      <c r="B2" s="92">
        <f>SUM(B3:B7)</f>
        <v>900</v>
      </c>
    </row>
    <row r="3" spans="1:13" x14ac:dyDescent="0.25">
      <c r="A3" s="91" t="s">
        <v>142</v>
      </c>
      <c r="B3" s="92">
        <v>450</v>
      </c>
    </row>
    <row r="4" spans="1:13" x14ac:dyDescent="0.25">
      <c r="A4" s="91" t="s">
        <v>83</v>
      </c>
      <c r="B4" s="92">
        <v>200</v>
      </c>
    </row>
    <row r="5" spans="1:13" x14ac:dyDescent="0.25">
      <c r="A5" s="91" t="s">
        <v>143</v>
      </c>
      <c r="B5" s="92">
        <v>100</v>
      </c>
    </row>
    <row r="6" spans="1:13" x14ac:dyDescent="0.25">
      <c r="A6" s="91" t="s">
        <v>144</v>
      </c>
      <c r="B6" s="92">
        <v>50</v>
      </c>
    </row>
    <row r="7" spans="1:13" x14ac:dyDescent="0.25">
      <c r="A7" s="91" t="s">
        <v>146</v>
      </c>
      <c r="B7" s="92">
        <v>100</v>
      </c>
    </row>
    <row r="8" spans="1:13" x14ac:dyDescent="0.25">
      <c r="A8" s="91" t="s">
        <v>153</v>
      </c>
      <c r="B8" s="93">
        <f>SUM(B3:B7)</f>
        <v>900</v>
      </c>
    </row>
    <row r="9" spans="1:13" customFormat="1" x14ac:dyDescent="0.25">
      <c r="A9" s="91"/>
      <c r="B9" s="91"/>
      <c r="C9" s="91"/>
      <c r="D9" s="91"/>
      <c r="E9" s="94"/>
      <c r="F9" s="91"/>
      <c r="G9" s="91"/>
      <c r="H9" s="91"/>
      <c r="I9" s="91"/>
      <c r="J9" s="91"/>
      <c r="K9" s="91"/>
      <c r="L9" s="91"/>
      <c r="M9" s="91"/>
    </row>
    <row r="10" spans="1:13" customFormat="1" x14ac:dyDescent="0.25">
      <c r="A10" s="91" t="s">
        <v>149</v>
      </c>
      <c r="B10" s="91"/>
      <c r="C10" s="91"/>
      <c r="D10" s="91" t="s">
        <v>151</v>
      </c>
      <c r="E10" s="94"/>
      <c r="F10" s="91"/>
      <c r="G10" s="91"/>
      <c r="H10" s="91"/>
      <c r="I10" s="91"/>
      <c r="J10" s="91"/>
      <c r="K10" s="91"/>
      <c r="L10" s="91"/>
      <c r="M10" s="91"/>
    </row>
    <row r="11" spans="1:13" customFormat="1" x14ac:dyDescent="0.25">
      <c r="A11" s="91"/>
      <c r="B11" s="91"/>
      <c r="C11" s="91"/>
      <c r="D11" s="91"/>
      <c r="E11" s="94"/>
      <c r="F11" s="91"/>
      <c r="G11" s="91"/>
      <c r="H11" s="91"/>
      <c r="I11" s="91"/>
      <c r="J11" s="91"/>
      <c r="K11" s="91"/>
      <c r="L11" s="91"/>
      <c r="M11" s="91"/>
    </row>
    <row r="12" spans="1:13" customFormat="1" x14ac:dyDescent="0.25">
      <c r="A12" s="91" t="s">
        <v>150</v>
      </c>
      <c r="B12" s="91"/>
      <c r="C12" s="91"/>
      <c r="D12" s="91" t="s">
        <v>148</v>
      </c>
      <c r="E12" s="94"/>
      <c r="F12" s="91"/>
      <c r="G12" s="91"/>
      <c r="H12" s="91"/>
      <c r="I12" s="91"/>
      <c r="J12" s="91"/>
      <c r="K12" s="91"/>
      <c r="L12" s="91"/>
      <c r="M12" s="91"/>
    </row>
    <row r="13" spans="1:13" customFormat="1" x14ac:dyDescent="0.25">
      <c r="A13" s="91" t="s">
        <v>164</v>
      </c>
      <c r="B13" s="91"/>
      <c r="C13" s="91"/>
      <c r="D13" s="93">
        <f>'Annual Summary'!D70*0.3</f>
        <v>500315.57961037057</v>
      </c>
      <c r="E13" s="93"/>
      <c r="F13" s="93">
        <f>'Annual Summary'!F70*0.3</f>
        <v>593342.16788771434</v>
      </c>
      <c r="G13" s="93"/>
      <c r="H13" s="93">
        <f>'Annual Summary'!H70*0.3</f>
        <v>649849.13525613223</v>
      </c>
      <c r="I13" s="93"/>
      <c r="J13" s="93">
        <f>'Annual Summary'!J70*0.3</f>
        <v>710438.54692644998</v>
      </c>
      <c r="K13" s="93"/>
      <c r="L13" s="93">
        <f>'Annual Summary'!L70*0.3</f>
        <v>775399.86502380879</v>
      </c>
      <c r="M13" s="91"/>
    </row>
    <row r="14" spans="1:13" customFormat="1" x14ac:dyDescent="0.25">
      <c r="A14" s="91" t="s">
        <v>165</v>
      </c>
      <c r="B14" s="91"/>
      <c r="C14" s="91"/>
      <c r="D14" s="93">
        <f>'Annual Summary'!D70*0.7</f>
        <v>1167403.0190908646</v>
      </c>
      <c r="E14" s="93"/>
      <c r="F14" s="93">
        <f>'Annual Summary'!F70*0.7</f>
        <v>1384465.0584046666</v>
      </c>
      <c r="G14" s="93"/>
      <c r="H14" s="93">
        <f>'Annual Summary'!H70*0.7</f>
        <v>1516314.648930975</v>
      </c>
      <c r="I14" s="93"/>
      <c r="J14" s="93">
        <f>'Annual Summary'!J70*0.7</f>
        <v>1657689.9428283833</v>
      </c>
      <c r="K14" s="93"/>
      <c r="L14" s="93">
        <f>'Annual Summary'!L70*0.7</f>
        <v>1809266.3517222204</v>
      </c>
      <c r="M14" s="91"/>
    </row>
    <row r="15" spans="1:13" customFormat="1" x14ac:dyDescent="0.25">
      <c r="A15" s="125" t="s">
        <v>163</v>
      </c>
      <c r="B15" s="125"/>
      <c r="C15" s="125"/>
      <c r="D15" s="126">
        <f>SUM(D13:D14)</f>
        <v>1667718.5987012351</v>
      </c>
      <c r="E15" s="126"/>
      <c r="F15" s="126">
        <f>SUM(F13:F14)</f>
        <v>1977807.2262923811</v>
      </c>
      <c r="G15" s="126"/>
      <c r="H15" s="126">
        <f>SUM(H13:H14)</f>
        <v>2166163.7841871073</v>
      </c>
      <c r="I15" s="126"/>
      <c r="J15" s="126">
        <f>SUM(J13:J14)</f>
        <v>2368128.4897548333</v>
      </c>
      <c r="K15" s="126"/>
      <c r="L15" s="126">
        <f>SUM(L13:L14)</f>
        <v>2584666.2167460294</v>
      </c>
      <c r="M15" s="91"/>
    </row>
    <row r="16" spans="1:13" x14ac:dyDescent="0.25">
      <c r="D16" s="124" t="s">
        <v>119</v>
      </c>
      <c r="E16" s="124"/>
      <c r="F16" s="124" t="s">
        <v>2</v>
      </c>
      <c r="G16" s="124"/>
      <c r="H16" s="124" t="s">
        <v>3</v>
      </c>
      <c r="I16" s="124"/>
      <c r="J16" s="124" t="s">
        <v>160</v>
      </c>
      <c r="K16" s="124"/>
      <c r="L16" s="124" t="s">
        <v>161</v>
      </c>
    </row>
  </sheetData>
  <sortState xmlns:xlrd2="http://schemas.microsoft.com/office/spreadsheetml/2017/richdata2" ref="A3:B7">
    <sortCondition descending="1" ref="B3:B7"/>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13AE0-E7B7-834A-BB53-DC233084669E}">
  <dimension ref="A1:M16"/>
  <sheetViews>
    <sheetView showGridLines="0" topLeftCell="B1" workbookViewId="0">
      <selection activeCell="D19" sqref="D19"/>
    </sheetView>
  </sheetViews>
  <sheetFormatPr baseColWidth="10" defaultColWidth="9.1640625" defaultRowHeight="25" x14ac:dyDescent="0.25"/>
  <cols>
    <col min="1" max="1" width="44.5" style="91" bestFit="1" customWidth="1"/>
    <col min="2" max="2" width="18.6640625" style="91" bestFit="1" customWidth="1"/>
    <col min="3" max="3" width="9.1640625" style="91"/>
    <col min="4" max="4" width="25.5" style="91" bestFit="1" customWidth="1"/>
    <col min="5" max="5" width="9.33203125" style="91" bestFit="1" customWidth="1"/>
    <col min="6" max="6" width="25.5" style="91" bestFit="1" customWidth="1"/>
    <col min="7" max="7" width="9.33203125" style="91" bestFit="1" customWidth="1"/>
    <col min="8" max="8" width="25.5" style="91" bestFit="1" customWidth="1"/>
    <col min="9" max="9" width="9.33203125" style="91" bestFit="1" customWidth="1"/>
    <col min="10" max="10" width="25.5" style="91" bestFit="1" customWidth="1"/>
    <col min="11" max="11" width="9.33203125" style="91" bestFit="1" customWidth="1"/>
    <col min="12" max="12" width="25.5" style="91" bestFit="1" customWidth="1"/>
    <col min="13" max="16384" width="9.1640625" style="91"/>
  </cols>
  <sheetData>
    <row r="1" spans="1:13" x14ac:dyDescent="0.25">
      <c r="B1" s="91" t="s">
        <v>147</v>
      </c>
    </row>
    <row r="2" spans="1:13" x14ac:dyDescent="0.25">
      <c r="A2" s="91" t="s">
        <v>141</v>
      </c>
      <c r="B2" s="92">
        <f>SUM(B3:B8)</f>
        <v>1500</v>
      </c>
    </row>
    <row r="3" spans="1:13" x14ac:dyDescent="0.25">
      <c r="A3" s="91" t="s">
        <v>142</v>
      </c>
      <c r="B3" s="92">
        <v>650</v>
      </c>
    </row>
    <row r="4" spans="1:13" x14ac:dyDescent="0.25">
      <c r="A4" s="91" t="s">
        <v>83</v>
      </c>
      <c r="B4" s="92">
        <v>400</v>
      </c>
    </row>
    <row r="5" spans="1:13" x14ac:dyDescent="0.25">
      <c r="A5" s="91" t="s">
        <v>145</v>
      </c>
      <c r="B5" s="92">
        <v>100</v>
      </c>
    </row>
    <row r="6" spans="1:13" x14ac:dyDescent="0.25">
      <c r="A6" s="91" t="s">
        <v>143</v>
      </c>
      <c r="B6" s="92">
        <v>150</v>
      </c>
    </row>
    <row r="7" spans="1:13" x14ac:dyDescent="0.25">
      <c r="A7" s="91" t="s">
        <v>144</v>
      </c>
      <c r="B7" s="92">
        <v>50</v>
      </c>
    </row>
    <row r="8" spans="1:13" x14ac:dyDescent="0.25">
      <c r="A8" s="91" t="s">
        <v>146</v>
      </c>
      <c r="B8" s="92">
        <v>150</v>
      </c>
    </row>
    <row r="9" spans="1:13" x14ac:dyDescent="0.25">
      <c r="A9" s="91" t="s">
        <v>153</v>
      </c>
      <c r="B9" s="93">
        <f>SUM(B3:B8)</f>
        <v>1500</v>
      </c>
    </row>
    <row r="10" spans="1:13" customFormat="1" x14ac:dyDescent="0.25">
      <c r="A10" s="91"/>
      <c r="B10" s="91"/>
      <c r="C10" s="91"/>
      <c r="D10" s="91"/>
      <c r="E10" s="94"/>
      <c r="F10" s="91"/>
      <c r="G10" s="91"/>
      <c r="H10" s="91"/>
      <c r="I10" s="91"/>
      <c r="J10" s="91"/>
      <c r="K10" s="91"/>
      <c r="L10" s="91"/>
      <c r="M10" s="91"/>
    </row>
    <row r="11" spans="1:13" customFormat="1" x14ac:dyDescent="0.25">
      <c r="A11" s="91" t="s">
        <v>149</v>
      </c>
      <c r="B11" s="91"/>
      <c r="C11" s="91"/>
      <c r="D11" s="91" t="s">
        <v>151</v>
      </c>
      <c r="E11" s="94"/>
      <c r="F11" s="91"/>
      <c r="G11" s="91"/>
      <c r="H11" s="91"/>
      <c r="I11" s="91"/>
      <c r="J11" s="91"/>
      <c r="K11" s="91"/>
      <c r="L11" s="91"/>
      <c r="M11" s="91"/>
    </row>
    <row r="12" spans="1:13" customFormat="1" x14ac:dyDescent="0.25">
      <c r="A12" s="91"/>
      <c r="B12" s="91"/>
      <c r="C12" s="91"/>
      <c r="D12" s="91"/>
      <c r="E12" s="94"/>
      <c r="F12" s="91"/>
      <c r="G12" s="91"/>
      <c r="H12" s="91"/>
      <c r="I12" s="91"/>
      <c r="J12" s="91"/>
      <c r="K12" s="91"/>
      <c r="L12" s="91"/>
      <c r="M12" s="91"/>
    </row>
    <row r="13" spans="1:13" customFormat="1" x14ac:dyDescent="0.25">
      <c r="A13" s="91" t="s">
        <v>150</v>
      </c>
      <c r="B13" s="91"/>
      <c r="C13" s="91"/>
      <c r="D13" s="91" t="s">
        <v>148</v>
      </c>
      <c r="E13" s="94"/>
      <c r="F13" s="91"/>
      <c r="G13" s="91"/>
      <c r="H13" s="91"/>
      <c r="I13" s="91"/>
      <c r="J13" s="91"/>
      <c r="K13" s="91"/>
      <c r="L13" s="91"/>
      <c r="M13" s="91"/>
    </row>
    <row r="14" spans="1:13" customFormat="1" x14ac:dyDescent="0.25">
      <c r="A14" s="91" t="s">
        <v>159</v>
      </c>
      <c r="B14" s="91"/>
      <c r="C14" s="91"/>
      <c r="D14" s="113">
        <f>'Annual Summary'!D70*0.3</f>
        <v>500315.57961037057</v>
      </c>
      <c r="E14" s="113"/>
      <c r="F14" s="113">
        <f>'Annual Summary'!F70*0.3</f>
        <v>593342.16788771434</v>
      </c>
      <c r="G14" s="113"/>
      <c r="H14" s="113">
        <f>'Annual Summary'!H70*0.3</f>
        <v>649849.13525613223</v>
      </c>
      <c r="I14" s="113"/>
      <c r="J14" s="113">
        <f>'Annual Summary'!J70*0.3</f>
        <v>710438.54692644998</v>
      </c>
      <c r="K14" s="113"/>
      <c r="L14" s="113">
        <f>'Annual Summary'!L70*0.3</f>
        <v>775399.86502380879</v>
      </c>
      <c r="M14" s="91"/>
    </row>
    <row r="15" spans="1:13" customFormat="1" x14ac:dyDescent="0.25">
      <c r="A15" s="91" t="s">
        <v>152</v>
      </c>
      <c r="B15" s="91"/>
      <c r="C15" s="91"/>
      <c r="D15" s="113">
        <f>'Annual Summary'!D70*0.7</f>
        <v>1167403.0190908646</v>
      </c>
      <c r="E15" s="113"/>
      <c r="F15" s="113">
        <f>'Annual Summary'!F70*0.7</f>
        <v>1384465.0584046666</v>
      </c>
      <c r="G15" s="113"/>
      <c r="H15" s="113">
        <f>'Annual Summary'!H70*0.7</f>
        <v>1516314.648930975</v>
      </c>
      <c r="I15" s="113"/>
      <c r="J15" s="113">
        <f>'Annual Summary'!J70*0.7</f>
        <v>1657689.9428283833</v>
      </c>
      <c r="K15" s="113"/>
      <c r="L15" s="113">
        <f>'Annual Summary'!L70*0.7</f>
        <v>1809266.3517222204</v>
      </c>
      <c r="M15" s="91"/>
    </row>
    <row r="16" spans="1:13" customFormat="1" x14ac:dyDescent="0.25">
      <c r="A16" s="91"/>
      <c r="B16" s="91"/>
      <c r="C16" s="91"/>
      <c r="D16" s="113">
        <f>SUM(D14:D15)</f>
        <v>1667718.5987012351</v>
      </c>
      <c r="E16" s="113"/>
      <c r="F16" s="113">
        <f>SUM(F14:F15)</f>
        <v>1977807.2262923811</v>
      </c>
      <c r="G16" s="113"/>
      <c r="H16" s="113">
        <f>SUM(H14:H15)</f>
        <v>2166163.7841871073</v>
      </c>
      <c r="I16" s="113"/>
      <c r="J16" s="113">
        <f>SUM(J14:J15)</f>
        <v>2368128.4897548333</v>
      </c>
      <c r="K16" s="113"/>
      <c r="L16" s="113">
        <f>SUM(L14:L15)</f>
        <v>2584666.2167460294</v>
      </c>
      <c r="M16" s="9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E7050-7E0B-E443-9EEE-78E71CD4A8D8}">
  <sheetPr>
    <tabColor rgb="FF92D050"/>
  </sheetPr>
  <dimension ref="A2:P50"/>
  <sheetViews>
    <sheetView showGridLines="0" topLeftCell="A54" zoomScale="130" zoomScaleNormal="130" workbookViewId="0">
      <selection activeCell="K22" sqref="K22"/>
    </sheetView>
  </sheetViews>
  <sheetFormatPr baseColWidth="10" defaultColWidth="8.83203125" defaultRowHeight="13" x14ac:dyDescent="0.15"/>
  <cols>
    <col min="1" max="1" width="21.6640625" bestFit="1" customWidth="1"/>
    <col min="2" max="2" width="11.33203125" bestFit="1" customWidth="1"/>
    <col min="3" max="3" width="12.6640625" customWidth="1"/>
    <col min="4" max="4" width="11.5" customWidth="1"/>
    <col min="5" max="5" width="2.6640625" bestFit="1" customWidth="1"/>
    <col min="6" max="6" width="12.5" bestFit="1" customWidth="1"/>
    <col min="7" max="7" width="16" customWidth="1"/>
    <col min="8" max="8" width="16.5" hidden="1" customWidth="1"/>
    <col min="9" max="9" width="11.33203125" bestFit="1" customWidth="1"/>
    <col min="10" max="10" width="9.83203125" bestFit="1" customWidth="1"/>
    <col min="11" max="11" width="8.83203125" bestFit="1" customWidth="1"/>
    <col min="12" max="12" width="10.83203125" bestFit="1" customWidth="1"/>
    <col min="14" max="14" width="9.83203125" bestFit="1" customWidth="1"/>
  </cols>
  <sheetData>
    <row r="2" spans="1:12" ht="24" x14ac:dyDescent="0.25">
      <c r="A2" s="43" t="s">
        <v>126</v>
      </c>
    </row>
    <row r="3" spans="1:12" s="13" customFormat="1" ht="11" x14ac:dyDescent="0.15">
      <c r="A3" s="44" t="s">
        <v>25</v>
      </c>
    </row>
    <row r="4" spans="1:12" s="13" customFormat="1" ht="11" x14ac:dyDescent="0.15">
      <c r="A4" s="65" t="s">
        <v>62</v>
      </c>
      <c r="B4" s="13">
        <v>120</v>
      </c>
    </row>
    <row r="5" spans="1:12" s="13" customFormat="1" ht="11" x14ac:dyDescent="0.15">
      <c r="A5" s="65" t="s">
        <v>63</v>
      </c>
      <c r="B5" s="13">
        <v>50</v>
      </c>
    </row>
    <row r="6" spans="1:12" s="13" customFormat="1" ht="11" x14ac:dyDescent="0.15">
      <c r="A6" s="65" t="s">
        <v>57</v>
      </c>
      <c r="B6" s="13">
        <v>80</v>
      </c>
    </row>
    <row r="7" spans="1:12" s="13" customFormat="1" ht="11" x14ac:dyDescent="0.15">
      <c r="A7" s="13" t="s">
        <v>135</v>
      </c>
      <c r="B7" s="13">
        <v>120</v>
      </c>
    </row>
    <row r="8" spans="1:12" s="13" customFormat="1" ht="11" x14ac:dyDescent="0.15">
      <c r="A8" s="13" t="s">
        <v>68</v>
      </c>
      <c r="B8" s="13">
        <v>51</v>
      </c>
    </row>
    <row r="9" spans="1:12" s="13" customFormat="1" ht="11" x14ac:dyDescent="0.15">
      <c r="A9" s="44" t="s">
        <v>26</v>
      </c>
      <c r="B9" s="48" t="s">
        <v>64</v>
      </c>
      <c r="C9" s="44" t="s">
        <v>27</v>
      </c>
      <c r="D9" s="44" t="s">
        <v>28</v>
      </c>
    </row>
    <row r="10" spans="1:12" s="13" customFormat="1" ht="11" x14ac:dyDescent="0.15">
      <c r="A10" s="65" t="s">
        <v>58</v>
      </c>
      <c r="B10" s="45">
        <f>C10+D10</f>
        <v>30</v>
      </c>
      <c r="C10" s="46">
        <v>20</v>
      </c>
      <c r="D10" s="46">
        <v>10</v>
      </c>
    </row>
    <row r="11" spans="1:12" s="13" customFormat="1" ht="11" x14ac:dyDescent="0.15">
      <c r="A11" s="13" t="s">
        <v>29</v>
      </c>
      <c r="B11" s="45">
        <f t="shared" ref="B11:B12" si="0">C11+D11</f>
        <v>40</v>
      </c>
      <c r="C11" s="46">
        <v>25</v>
      </c>
      <c r="D11" s="46">
        <v>15</v>
      </c>
    </row>
    <row r="12" spans="1:12" s="13" customFormat="1" ht="11" x14ac:dyDescent="0.15">
      <c r="A12" s="13" t="s">
        <v>136</v>
      </c>
      <c r="B12" s="45">
        <f t="shared" si="0"/>
        <v>20</v>
      </c>
      <c r="C12" s="46">
        <v>0</v>
      </c>
      <c r="D12" s="46">
        <v>20</v>
      </c>
    </row>
    <row r="13" spans="1:12" s="13" customFormat="1" ht="3" customHeight="1" x14ac:dyDescent="0.15">
      <c r="B13" s="45"/>
      <c r="C13" s="45"/>
      <c r="D13" s="46"/>
      <c r="E13" s="46"/>
    </row>
    <row r="14" spans="1:12" s="13" customFormat="1" ht="11" x14ac:dyDescent="0.15">
      <c r="A14" s="20" t="s">
        <v>30</v>
      </c>
    </row>
    <row r="15" spans="1:12" s="13" customFormat="1" ht="24" x14ac:dyDescent="0.15">
      <c r="A15" s="47" t="s">
        <v>31</v>
      </c>
      <c r="B15" s="47" t="s">
        <v>59</v>
      </c>
      <c r="C15" s="47" t="s">
        <v>32</v>
      </c>
      <c r="D15" s="47" t="s">
        <v>123</v>
      </c>
      <c r="F15" s="48" t="s">
        <v>60</v>
      </c>
      <c r="G15" s="48" t="s">
        <v>71</v>
      </c>
      <c r="H15" s="48" t="s">
        <v>137</v>
      </c>
      <c r="I15" s="49" t="s">
        <v>61</v>
      </c>
      <c r="J15" s="49" t="s">
        <v>33</v>
      </c>
      <c r="K15" s="49" t="s">
        <v>138</v>
      </c>
      <c r="L15" s="20" t="s">
        <v>124</v>
      </c>
    </row>
    <row r="16" spans="1:12" s="13" customFormat="1" ht="11" x14ac:dyDescent="0.15">
      <c r="A16" s="13" t="s">
        <v>34</v>
      </c>
      <c r="B16" s="13">
        <v>0</v>
      </c>
      <c r="C16" s="8">
        <v>1</v>
      </c>
      <c r="D16" s="66">
        <v>0.5</v>
      </c>
      <c r="F16" s="29">
        <f t="shared" ref="F16:F22" si="1">($B$5*$C$10)*B16</f>
        <v>0</v>
      </c>
      <c r="G16" s="29">
        <f t="shared" ref="G16:G22" si="2">($B$6*$C$11)*C16</f>
        <v>2000</v>
      </c>
      <c r="H16" s="29">
        <f t="shared" ref="H16:H22" si="3">($B$7*$C$12)*D16</f>
        <v>0</v>
      </c>
      <c r="I16" s="29">
        <f t="shared" ref="I16:I22" si="4">($B$5*$D$10)*B16</f>
        <v>0</v>
      </c>
      <c r="J16" s="29">
        <f>(($B$7*C16)*$D$11)</f>
        <v>1800</v>
      </c>
      <c r="K16" s="29">
        <f t="shared" ref="K16:K22" si="5">(($B$7*D16)*$D$12)</f>
        <v>1200</v>
      </c>
      <c r="L16" s="50">
        <f>SUM(F16:K16)</f>
        <v>5000</v>
      </c>
    </row>
    <row r="17" spans="1:16" s="13" customFormat="1" ht="11" x14ac:dyDescent="0.15">
      <c r="A17" s="13" t="s">
        <v>35</v>
      </c>
      <c r="B17" s="13">
        <v>0</v>
      </c>
      <c r="C17" s="8">
        <v>1.5</v>
      </c>
      <c r="D17" s="8">
        <v>0.5</v>
      </c>
      <c r="F17" s="29">
        <f t="shared" si="1"/>
        <v>0</v>
      </c>
      <c r="G17" s="29">
        <f t="shared" si="2"/>
        <v>3000</v>
      </c>
      <c r="H17" s="29">
        <f t="shared" si="3"/>
        <v>0</v>
      </c>
      <c r="I17" s="29">
        <f t="shared" si="4"/>
        <v>0</v>
      </c>
      <c r="J17" s="29">
        <f t="shared" ref="J17:J22" si="6">(($B$7*C17)*$D$11)</f>
        <v>2700</v>
      </c>
      <c r="K17" s="29">
        <f t="shared" si="5"/>
        <v>1200</v>
      </c>
      <c r="L17" s="50">
        <f t="shared" ref="L17:L22" si="7">SUM(F17:K17)</f>
        <v>6900</v>
      </c>
    </row>
    <row r="18" spans="1:16" s="13" customFormat="1" ht="11" x14ac:dyDescent="0.15">
      <c r="A18" s="13" t="s">
        <v>36</v>
      </c>
      <c r="B18" s="13">
        <v>0</v>
      </c>
      <c r="C18" s="8">
        <v>1.5</v>
      </c>
      <c r="D18" s="8">
        <v>1</v>
      </c>
      <c r="F18" s="29">
        <f t="shared" si="1"/>
        <v>0</v>
      </c>
      <c r="G18" s="29">
        <f t="shared" si="2"/>
        <v>3000</v>
      </c>
      <c r="H18" s="29">
        <f t="shared" si="3"/>
        <v>0</v>
      </c>
      <c r="I18" s="29">
        <f t="shared" si="4"/>
        <v>0</v>
      </c>
      <c r="J18" s="29">
        <f t="shared" si="6"/>
        <v>2700</v>
      </c>
      <c r="K18" s="29">
        <f t="shared" si="5"/>
        <v>2400</v>
      </c>
      <c r="L18" s="50">
        <f t="shared" si="7"/>
        <v>8100</v>
      </c>
    </row>
    <row r="19" spans="1:16" s="13" customFormat="1" ht="11" x14ac:dyDescent="0.15">
      <c r="A19" s="13" t="s">
        <v>37</v>
      </c>
      <c r="B19" s="13">
        <v>0</v>
      </c>
      <c r="C19" s="8">
        <v>2</v>
      </c>
      <c r="D19" s="8">
        <v>2</v>
      </c>
      <c r="F19" s="29">
        <f t="shared" si="1"/>
        <v>0</v>
      </c>
      <c r="G19" s="29">
        <f t="shared" si="2"/>
        <v>4000</v>
      </c>
      <c r="H19" s="29">
        <f t="shared" si="3"/>
        <v>0</v>
      </c>
      <c r="I19" s="29">
        <f t="shared" si="4"/>
        <v>0</v>
      </c>
      <c r="J19" s="29">
        <f t="shared" si="6"/>
        <v>3600</v>
      </c>
      <c r="K19" s="29">
        <f t="shared" si="5"/>
        <v>4800</v>
      </c>
      <c r="L19" s="50">
        <f t="shared" si="7"/>
        <v>12400</v>
      </c>
    </row>
    <row r="20" spans="1:16" s="13" customFormat="1" ht="11" x14ac:dyDescent="0.15">
      <c r="A20" s="13" t="s">
        <v>38</v>
      </c>
      <c r="B20" s="13">
        <v>0</v>
      </c>
      <c r="C20" s="8">
        <v>2</v>
      </c>
      <c r="D20" s="8">
        <v>2</v>
      </c>
      <c r="F20" s="29">
        <f t="shared" si="1"/>
        <v>0</v>
      </c>
      <c r="G20" s="29">
        <f t="shared" si="2"/>
        <v>4000</v>
      </c>
      <c r="H20" s="29">
        <f t="shared" si="3"/>
        <v>0</v>
      </c>
      <c r="I20" s="29">
        <f t="shared" si="4"/>
        <v>0</v>
      </c>
      <c r="J20" s="29">
        <f t="shared" si="6"/>
        <v>3600</v>
      </c>
      <c r="K20" s="29">
        <f t="shared" si="5"/>
        <v>4800</v>
      </c>
      <c r="L20" s="50">
        <f t="shared" si="7"/>
        <v>12400</v>
      </c>
    </row>
    <row r="21" spans="1:16" s="13" customFormat="1" ht="11" x14ac:dyDescent="0.15">
      <c r="A21" s="13" t="s">
        <v>39</v>
      </c>
      <c r="B21" s="13">
        <v>2</v>
      </c>
      <c r="C21" s="8">
        <v>2</v>
      </c>
      <c r="D21" s="8">
        <v>2</v>
      </c>
      <c r="F21" s="29">
        <f t="shared" si="1"/>
        <v>2000</v>
      </c>
      <c r="G21" s="29">
        <f t="shared" si="2"/>
        <v>4000</v>
      </c>
      <c r="H21" s="29">
        <f t="shared" si="3"/>
        <v>0</v>
      </c>
      <c r="I21" s="29">
        <f t="shared" si="4"/>
        <v>1000</v>
      </c>
      <c r="J21" s="29">
        <f t="shared" si="6"/>
        <v>3600</v>
      </c>
      <c r="K21" s="29">
        <f t="shared" si="5"/>
        <v>4800</v>
      </c>
      <c r="L21" s="50">
        <f t="shared" si="7"/>
        <v>15400</v>
      </c>
    </row>
    <row r="22" spans="1:16" s="13" customFormat="1" ht="11" x14ac:dyDescent="0.15">
      <c r="A22" s="13" t="s">
        <v>40</v>
      </c>
      <c r="B22" s="13">
        <v>2</v>
      </c>
      <c r="C22" s="8">
        <v>2</v>
      </c>
      <c r="D22" s="8">
        <v>2</v>
      </c>
      <c r="F22" s="29">
        <f t="shared" si="1"/>
        <v>2000</v>
      </c>
      <c r="G22" s="29">
        <f t="shared" si="2"/>
        <v>4000</v>
      </c>
      <c r="H22" s="29">
        <f t="shared" si="3"/>
        <v>0</v>
      </c>
      <c r="I22" s="29">
        <f t="shared" si="4"/>
        <v>1000</v>
      </c>
      <c r="J22" s="29">
        <f t="shared" si="6"/>
        <v>3600</v>
      </c>
      <c r="K22" s="29">
        <f t="shared" si="5"/>
        <v>4800</v>
      </c>
      <c r="L22" s="50">
        <f t="shared" si="7"/>
        <v>15400</v>
      </c>
    </row>
    <row r="23" spans="1:16" s="13" customFormat="1" ht="12" thickBot="1" x14ac:dyDescent="0.2">
      <c r="A23" s="51"/>
      <c r="B23" s="51"/>
      <c r="C23" s="51"/>
      <c r="D23" s="52" t="s">
        <v>69</v>
      </c>
      <c r="E23" s="53"/>
      <c r="F23" s="54">
        <f>SUM(F16:F22)</f>
        <v>4000</v>
      </c>
      <c r="G23" s="54">
        <f>SUM(G16:G22)</f>
        <v>24000</v>
      </c>
      <c r="H23" s="54">
        <f t="shared" ref="H23:K23" si="8">SUM(H16:H22)</f>
        <v>0</v>
      </c>
      <c r="I23" s="54">
        <f t="shared" si="8"/>
        <v>2000</v>
      </c>
      <c r="J23" s="54">
        <f t="shared" si="8"/>
        <v>21600</v>
      </c>
      <c r="K23" s="54">
        <f t="shared" si="8"/>
        <v>24000</v>
      </c>
      <c r="L23" s="50"/>
    </row>
    <row r="24" spans="1:16" s="13" customFormat="1" ht="15" thickTop="1" x14ac:dyDescent="0.3">
      <c r="D24" s="55">
        <f>SUM(F23:K23)</f>
        <v>75600</v>
      </c>
    </row>
    <row r="25" spans="1:16" s="13" customFormat="1" ht="3" customHeight="1" x14ac:dyDescent="0.15"/>
    <row r="26" spans="1:16" s="13" customFormat="1" ht="24" x14ac:dyDescent="0.15">
      <c r="C26" s="56" t="s">
        <v>41</v>
      </c>
      <c r="F26" s="48" t="s">
        <v>70</v>
      </c>
      <c r="G26" s="48" t="s">
        <v>71</v>
      </c>
      <c r="H26" s="48" t="s">
        <v>137</v>
      </c>
      <c r="I26" s="49" t="s">
        <v>61</v>
      </c>
      <c r="J26" s="49" t="s">
        <v>33</v>
      </c>
      <c r="K26" s="49" t="s">
        <v>138</v>
      </c>
      <c r="M26" s="13" t="s">
        <v>59</v>
      </c>
      <c r="N26" s="13" t="s">
        <v>32</v>
      </c>
      <c r="O26" s="13" t="s">
        <v>123</v>
      </c>
    </row>
    <row r="27" spans="1:16" s="13" customFormat="1" ht="11" x14ac:dyDescent="0.15">
      <c r="A27" s="13" t="s">
        <v>42</v>
      </c>
      <c r="C27" s="50">
        <f>D24*B8</f>
        <v>3855600</v>
      </c>
      <c r="D27" s="57"/>
      <c r="F27" s="50">
        <f t="shared" ref="F27:K27" si="9">F23*$B$8</f>
        <v>204000</v>
      </c>
      <c r="G27" s="50">
        <f t="shared" si="9"/>
        <v>1224000</v>
      </c>
      <c r="H27" s="50">
        <f t="shared" si="9"/>
        <v>0</v>
      </c>
      <c r="I27" s="50">
        <f t="shared" si="9"/>
        <v>102000</v>
      </c>
      <c r="J27" s="50">
        <f t="shared" si="9"/>
        <v>1101600</v>
      </c>
      <c r="K27" s="50">
        <f t="shared" si="9"/>
        <v>1224000</v>
      </c>
      <c r="M27" s="88">
        <f>F27+I27</f>
        <v>306000</v>
      </c>
      <c r="N27" s="88">
        <f>G27+J27</f>
        <v>2325600</v>
      </c>
      <c r="O27" s="88">
        <f>H27+K27</f>
        <v>1224000</v>
      </c>
      <c r="P27" s="50"/>
    </row>
    <row r="28" spans="1:16" s="13" customFormat="1" ht="12" thickBot="1" x14ac:dyDescent="0.2">
      <c r="A28" s="58" t="s">
        <v>43</v>
      </c>
      <c r="B28" s="58"/>
      <c r="C28" s="90">
        <f>SUM(C27:C27)</f>
        <v>3855600</v>
      </c>
      <c r="F28" s="59">
        <f t="shared" ref="F28:K28" si="10">SUM(F27:F27)</f>
        <v>204000</v>
      </c>
      <c r="G28" s="59">
        <f t="shared" si="10"/>
        <v>1224000</v>
      </c>
      <c r="H28" s="59">
        <f t="shared" si="10"/>
        <v>0</v>
      </c>
      <c r="I28" s="59">
        <f t="shared" si="10"/>
        <v>102000</v>
      </c>
      <c r="J28" s="59">
        <f t="shared" si="10"/>
        <v>1101600</v>
      </c>
      <c r="K28" s="59">
        <f t="shared" si="10"/>
        <v>1224000</v>
      </c>
    </row>
    <row r="29" spans="1:16" ht="14" thickTop="1" x14ac:dyDescent="0.15"/>
    <row r="31" spans="1:16" ht="23" x14ac:dyDescent="0.25">
      <c r="A31" s="114"/>
      <c r="B31" s="114"/>
      <c r="C31" s="114"/>
      <c r="D31" s="114"/>
      <c r="E31" s="114"/>
      <c r="F31" s="60"/>
      <c r="G31" s="60"/>
      <c r="H31" s="60"/>
    </row>
    <row r="32" spans="1:16" ht="16" x14ac:dyDescent="0.2">
      <c r="A32" s="61" t="s">
        <v>44</v>
      </c>
      <c r="B32" s="61"/>
      <c r="C32" s="62"/>
      <c r="D32" s="61"/>
      <c r="E32" s="61"/>
      <c r="F32" s="61"/>
      <c r="G32" s="61"/>
      <c r="H32" s="61"/>
    </row>
    <row r="34" spans="1:5" s="13" customFormat="1" ht="11" x14ac:dyDescent="0.15">
      <c r="A34" s="20" t="s">
        <v>125</v>
      </c>
    </row>
    <row r="35" spans="1:5" s="13" customFormat="1" ht="11" hidden="1" x14ac:dyDescent="0.15">
      <c r="A35" s="20" t="s">
        <v>54</v>
      </c>
    </row>
    <row r="36" spans="1:5" s="13" customFormat="1" ht="6" customHeight="1" x14ac:dyDescent="0.15">
      <c r="A36" s="20"/>
    </row>
    <row r="37" spans="1:5" s="13" customFormat="1" ht="11" x14ac:dyDescent="0.15">
      <c r="A37" s="13" t="s">
        <v>45</v>
      </c>
    </row>
    <row r="38" spans="1:5" s="13" customFormat="1" ht="11" x14ac:dyDescent="0.15">
      <c r="B38" s="13" t="s">
        <v>46</v>
      </c>
      <c r="D38" s="13" t="s">
        <v>139</v>
      </c>
    </row>
    <row r="39" spans="1:5" s="13" customFormat="1" ht="11" x14ac:dyDescent="0.15">
      <c r="B39" s="13" t="s">
        <v>38</v>
      </c>
      <c r="D39" s="13" t="s">
        <v>139</v>
      </c>
    </row>
    <row r="40" spans="1:5" s="13" customFormat="1" ht="11" x14ac:dyDescent="0.15">
      <c r="B40" s="13" t="s">
        <v>39</v>
      </c>
      <c r="D40" s="13" t="s">
        <v>140</v>
      </c>
    </row>
    <row r="41" spans="1:5" s="13" customFormat="1" ht="11" x14ac:dyDescent="0.15">
      <c r="B41" s="13" t="s">
        <v>40</v>
      </c>
      <c r="D41" s="13" t="s">
        <v>140</v>
      </c>
    </row>
    <row r="42" spans="1:5" s="13" customFormat="1" ht="11" x14ac:dyDescent="0.15"/>
    <row r="43" spans="1:5" s="13" customFormat="1" ht="11" x14ac:dyDescent="0.15">
      <c r="E43" s="63"/>
    </row>
    <row r="44" spans="1:5" s="13" customFormat="1" ht="11" x14ac:dyDescent="0.15">
      <c r="A44" s="20" t="s">
        <v>47</v>
      </c>
      <c r="E44" s="63"/>
    </row>
    <row r="45" spans="1:5" s="13" customFormat="1" ht="11" x14ac:dyDescent="0.15">
      <c r="E45" s="63"/>
    </row>
    <row r="46" spans="1:5" s="13" customFormat="1" ht="11" x14ac:dyDescent="0.15">
      <c r="A46" s="13" t="s">
        <v>48</v>
      </c>
      <c r="B46" s="13" t="s">
        <v>158</v>
      </c>
      <c r="E46" s="63"/>
    </row>
    <row r="47" spans="1:5" s="13" customFormat="1" ht="11" x14ac:dyDescent="0.15">
      <c r="A47" s="13" t="s">
        <v>49</v>
      </c>
      <c r="B47" s="13" t="s">
        <v>65</v>
      </c>
      <c r="E47" s="13">
        <v>15</v>
      </c>
    </row>
    <row r="48" spans="1:5" s="13" customFormat="1" ht="11" x14ac:dyDescent="0.15">
      <c r="A48" s="13" t="s">
        <v>50</v>
      </c>
      <c r="B48" s="13" t="s">
        <v>66</v>
      </c>
      <c r="E48" s="13">
        <v>13</v>
      </c>
    </row>
    <row r="49" spans="1:5" s="13" customFormat="1" ht="11" x14ac:dyDescent="0.15">
      <c r="A49" s="13" t="s">
        <v>52</v>
      </c>
      <c r="B49" s="13" t="s">
        <v>51</v>
      </c>
      <c r="E49" s="13">
        <v>8</v>
      </c>
    </row>
    <row r="50" spans="1:5" s="13" customFormat="1" ht="11" x14ac:dyDescent="0.15">
      <c r="A50" s="13" t="s">
        <v>53</v>
      </c>
      <c r="B50" s="13" t="s">
        <v>67</v>
      </c>
      <c r="E50" s="13">
        <v>5</v>
      </c>
    </row>
  </sheetData>
  <mergeCells count="1">
    <mergeCell ref="A31:E31"/>
  </mergeCells>
  <pageMargins left="0.7" right="0.7" top="0.75" bottom="0.75" header="0.3" footer="0.3"/>
  <pageSetup scale="88"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1B57D-1438-EB4C-A08F-FCBB6F5691F6}">
  <sheetPr>
    <tabColor rgb="FF92D050"/>
    <pageSetUpPr fitToPage="1"/>
  </sheetPr>
  <dimension ref="A1:BC90"/>
  <sheetViews>
    <sheetView showGridLines="0" zoomScale="145" zoomScaleNormal="145" zoomScaleSheetLayoutView="100" zoomScalePageLayoutView="30" workbookViewId="0">
      <pane xSplit="2" ySplit="6" topLeftCell="AA19" activePane="bottomRight" state="frozen"/>
      <selection pane="topRight" activeCell="C1" sqref="C1"/>
      <selection pane="bottomLeft" activeCell="A7" sqref="A7"/>
      <selection pane="bottomRight" activeCell="AA10" sqref="AA10"/>
    </sheetView>
  </sheetViews>
  <sheetFormatPr baseColWidth="10" defaultColWidth="11.5" defaultRowHeight="13" outlineLevelRow="2" outlineLevelCol="1" x14ac:dyDescent="0.15"/>
  <cols>
    <col min="1" max="1" width="29.5" customWidth="1"/>
    <col min="2" max="2" width="1" customWidth="1"/>
    <col min="3" max="3" width="10.83203125" hidden="1" customWidth="1" outlineLevel="1"/>
    <col min="4" max="4" width="7" style="20" hidden="1" customWidth="1" outlineLevel="1"/>
    <col min="5" max="5" width="10.83203125" hidden="1" customWidth="1" outlineLevel="1"/>
    <col min="6" max="6" width="6.1640625" style="20" hidden="1" customWidth="1" outlineLevel="1"/>
    <col min="7" max="7" width="10.83203125" hidden="1" customWidth="1" outlineLevel="1"/>
    <col min="8" max="8" width="6.1640625" style="20" hidden="1" customWidth="1" outlineLevel="1"/>
    <col min="9" max="9" width="10.83203125" hidden="1" customWidth="1" outlineLevel="1"/>
    <col min="10" max="10" width="6.1640625" style="20" hidden="1" customWidth="1" outlineLevel="1"/>
    <col min="11" max="11" width="10.83203125" hidden="1" customWidth="1" outlineLevel="1"/>
    <col min="12" max="12" width="6.1640625" style="20" hidden="1" customWidth="1" outlineLevel="1"/>
    <col min="13" max="13" width="10.83203125" hidden="1" customWidth="1" outlineLevel="1"/>
    <col min="14" max="14" width="6.1640625" style="20" hidden="1" customWidth="1" outlineLevel="1"/>
    <col min="15" max="15" width="9.83203125" hidden="1" customWidth="1" outlineLevel="1"/>
    <col min="16" max="16" width="6.1640625" style="20" hidden="1" customWidth="1" outlineLevel="1"/>
    <col min="17" max="17" width="10.83203125" hidden="1" customWidth="1" outlineLevel="1"/>
    <col min="18" max="18" width="6.1640625" style="20" hidden="1" customWidth="1" outlineLevel="1"/>
    <col min="19" max="19" width="9.83203125" hidden="1" customWidth="1" outlineLevel="1"/>
    <col min="20" max="20" width="6.1640625" style="20" hidden="1" customWidth="1" outlineLevel="1"/>
    <col min="21" max="21" width="9.83203125" hidden="1" customWidth="1" outlineLevel="1"/>
    <col min="22" max="22" width="6.1640625" style="20" hidden="1" customWidth="1" outlineLevel="1"/>
    <col min="23" max="23" width="9.83203125" hidden="1" customWidth="1" outlineLevel="1"/>
    <col min="24" max="24" width="6.1640625" style="20" hidden="1" customWidth="1" outlineLevel="1"/>
    <col min="25" max="25" width="8.33203125" hidden="1" customWidth="1" outlineLevel="1"/>
    <col min="26" max="26" width="6.1640625" style="20" hidden="1" customWidth="1" outlineLevel="1"/>
    <col min="27" max="27" width="9.6640625" style="22" bestFit="1" customWidth="1" collapsed="1"/>
    <col min="28" max="28" width="6.1640625" style="20" bestFit="1" customWidth="1"/>
    <col min="29" max="29" width="9" hidden="1" customWidth="1" outlineLevel="1"/>
    <col min="30" max="30" width="6.1640625" style="20" hidden="1" customWidth="1" outlineLevel="1"/>
    <col min="31" max="31" width="9.1640625" hidden="1" customWidth="1" outlineLevel="1"/>
    <col min="32" max="32" width="6.1640625" style="20" hidden="1" customWidth="1" outlineLevel="1"/>
    <col min="33" max="33" width="9.5" hidden="1" customWidth="1" outlineLevel="1"/>
    <col min="34" max="34" width="6.1640625" style="20" hidden="1" customWidth="1" outlineLevel="1"/>
    <col min="35" max="35" width="9.1640625" hidden="1" customWidth="1" outlineLevel="1"/>
    <col min="36" max="36" width="6.1640625" style="20" hidden="1" customWidth="1" outlineLevel="1"/>
    <col min="37" max="37" width="9.1640625" hidden="1" customWidth="1" outlineLevel="1"/>
    <col min="38" max="38" width="6.1640625" style="20" hidden="1" customWidth="1" outlineLevel="1"/>
    <col min="39" max="39" width="7.5" style="21" hidden="1" customWidth="1" outlineLevel="1"/>
    <col min="40" max="40" width="9" hidden="1" customWidth="1" outlineLevel="1"/>
    <col min="41" max="41" width="6.1640625" style="20" hidden="1" customWidth="1" outlineLevel="1"/>
    <col min="42" max="42" width="9" hidden="1" customWidth="1" outlineLevel="1"/>
    <col min="43" max="43" width="6.1640625" style="20" hidden="1" customWidth="1" outlineLevel="1"/>
    <col min="44" max="44" width="9" hidden="1" customWidth="1" outlineLevel="1"/>
    <col min="45" max="45" width="6.1640625" style="20" hidden="1" customWidth="1" outlineLevel="1"/>
    <col min="46" max="46" width="9" hidden="1" customWidth="1" outlineLevel="1"/>
    <col min="47" max="47" width="6.1640625" style="20" hidden="1" customWidth="1" outlineLevel="1"/>
    <col min="48" max="48" width="9" hidden="1" customWidth="1" outlineLevel="1"/>
    <col min="49" max="49" width="6.1640625" style="20" hidden="1" customWidth="1" outlineLevel="1"/>
    <col min="50" max="50" width="9" hidden="1" customWidth="1" outlineLevel="1"/>
    <col min="51" max="51" width="6.1640625" style="20" hidden="1" customWidth="1" outlineLevel="1"/>
    <col min="52" max="52" width="9" hidden="1" customWidth="1" outlineLevel="1"/>
    <col min="53" max="53" width="6.1640625" style="20" hidden="1" customWidth="1" outlineLevel="1"/>
    <col min="54" max="54" width="0" style="13" hidden="1" customWidth="1" collapsed="1"/>
    <col min="55" max="55" width="6.1640625" style="20" hidden="1" customWidth="1"/>
  </cols>
  <sheetData>
    <row r="1" spans="1:55" s="17" customFormat="1" ht="24" x14ac:dyDescent="0.25">
      <c r="A1" s="69" t="s">
        <v>126</v>
      </c>
      <c r="B1" s="69"/>
      <c r="C1" s="69"/>
      <c r="D1" s="18"/>
      <c r="E1" s="69"/>
      <c r="F1" s="18"/>
      <c r="G1" s="69"/>
      <c r="H1" s="18"/>
      <c r="I1" s="69"/>
      <c r="J1" s="18"/>
      <c r="K1" s="69"/>
      <c r="L1" s="18"/>
      <c r="M1" s="69"/>
      <c r="N1" s="18"/>
      <c r="O1" s="69"/>
      <c r="P1" s="18"/>
      <c r="Q1" s="69"/>
      <c r="R1" s="18"/>
      <c r="S1" s="69"/>
      <c r="T1" s="18"/>
      <c r="U1" s="69"/>
      <c r="V1" s="18"/>
      <c r="W1" s="69"/>
      <c r="X1" s="18"/>
      <c r="Y1" s="69"/>
      <c r="Z1" s="18"/>
      <c r="AA1" s="69"/>
      <c r="AB1" s="18"/>
      <c r="AC1" s="69"/>
      <c r="AD1" s="18"/>
      <c r="AE1" s="69"/>
      <c r="AF1" s="18"/>
      <c r="AH1" s="18"/>
      <c r="AI1" s="69"/>
      <c r="AJ1" s="18"/>
      <c r="AK1" s="69"/>
      <c r="AL1" s="18"/>
      <c r="AM1" s="19"/>
      <c r="AN1" s="69"/>
      <c r="AO1" s="18"/>
      <c r="AP1" s="69"/>
      <c r="AQ1" s="18"/>
      <c r="AR1" s="69"/>
      <c r="AS1" s="18"/>
      <c r="AT1" s="69"/>
      <c r="AU1" s="18"/>
      <c r="AV1" s="69"/>
      <c r="AW1" s="18"/>
      <c r="AX1" s="69"/>
      <c r="AY1" s="18"/>
      <c r="AZ1" s="69"/>
      <c r="BA1" s="18"/>
      <c r="BB1" s="13"/>
      <c r="BC1" s="18"/>
    </row>
    <row r="2" spans="1:55" ht="16" x14ac:dyDescent="0.2">
      <c r="A2" s="70" t="s">
        <v>133</v>
      </c>
      <c r="B2" s="70"/>
      <c r="C2" s="70"/>
      <c r="E2" s="70"/>
      <c r="G2" s="70"/>
      <c r="I2" s="70"/>
      <c r="K2" s="70"/>
      <c r="M2" s="70"/>
      <c r="O2" s="70"/>
      <c r="Q2" s="70"/>
      <c r="S2" s="70"/>
      <c r="U2" s="70"/>
      <c r="W2" s="70"/>
      <c r="Y2" s="70"/>
      <c r="AA2" s="70"/>
      <c r="AC2" s="70"/>
      <c r="AE2" s="70"/>
      <c r="AI2" s="70"/>
      <c r="AK2" s="70"/>
      <c r="AN2" s="70"/>
      <c r="AP2" s="70"/>
      <c r="AR2" s="70"/>
      <c r="AT2" s="70"/>
      <c r="AV2" s="70"/>
      <c r="AX2" s="70"/>
      <c r="AZ2" s="70"/>
    </row>
    <row r="3" spans="1:55" x14ac:dyDescent="0.15">
      <c r="A3" s="1"/>
      <c r="B3" s="1"/>
      <c r="C3" s="1"/>
      <c r="E3" s="1"/>
      <c r="G3" s="1"/>
      <c r="I3" s="1"/>
      <c r="K3" s="1"/>
    </row>
    <row r="4" spans="1:55" x14ac:dyDescent="0.15">
      <c r="A4" s="3"/>
      <c r="B4" s="3"/>
      <c r="C4" s="23"/>
      <c r="E4" s="23"/>
      <c r="G4" s="24"/>
      <c r="I4" s="24"/>
      <c r="AI4" s="24"/>
      <c r="AK4" s="24"/>
      <c r="AN4" s="24"/>
      <c r="AP4" s="24"/>
      <c r="AR4" s="24"/>
      <c r="AT4" s="24"/>
      <c r="AV4" s="24"/>
      <c r="AX4" s="24"/>
      <c r="AZ4" s="24"/>
    </row>
    <row r="5" spans="1:55" s="6" customFormat="1" ht="28" x14ac:dyDescent="0.15">
      <c r="A5" s="4"/>
      <c r="B5" s="4"/>
      <c r="C5" s="68" t="s">
        <v>94</v>
      </c>
      <c r="D5" s="25"/>
      <c r="E5" s="68" t="s">
        <v>95</v>
      </c>
      <c r="F5" s="25"/>
      <c r="G5" s="68" t="s">
        <v>96</v>
      </c>
      <c r="H5" s="25"/>
      <c r="I5" s="68" t="s">
        <v>97</v>
      </c>
      <c r="J5" s="25"/>
      <c r="K5" s="68" t="s">
        <v>98</v>
      </c>
      <c r="L5" s="25"/>
      <c r="M5" s="68" t="s">
        <v>99</v>
      </c>
      <c r="N5" s="25"/>
      <c r="O5" s="68" t="s">
        <v>100</v>
      </c>
      <c r="P5" s="25"/>
      <c r="Q5" s="68" t="s">
        <v>101</v>
      </c>
      <c r="R5" s="25"/>
      <c r="S5" s="68" t="s">
        <v>102</v>
      </c>
      <c r="T5" s="25"/>
      <c r="U5" s="68" t="s">
        <v>103</v>
      </c>
      <c r="V5" s="25"/>
      <c r="W5" s="68" t="s">
        <v>104</v>
      </c>
      <c r="X5" s="25"/>
      <c r="Y5" s="68" t="s">
        <v>105</v>
      </c>
      <c r="Z5" s="25"/>
      <c r="AA5" s="72" t="s">
        <v>118</v>
      </c>
      <c r="AB5" s="25"/>
      <c r="AC5" s="68" t="s">
        <v>106</v>
      </c>
      <c r="AD5" s="25"/>
      <c r="AE5" s="68" t="s">
        <v>107</v>
      </c>
      <c r="AF5" s="25"/>
      <c r="AG5" s="68" t="s">
        <v>108</v>
      </c>
      <c r="AH5" s="25"/>
      <c r="AI5" s="68" t="s">
        <v>109</v>
      </c>
      <c r="AJ5" s="25"/>
      <c r="AK5" s="68" t="s">
        <v>110</v>
      </c>
      <c r="AL5" s="25"/>
      <c r="AM5" s="26"/>
      <c r="AN5" s="68" t="s">
        <v>111</v>
      </c>
      <c r="AO5" s="25"/>
      <c r="AP5" s="68" t="s">
        <v>112</v>
      </c>
      <c r="AQ5" s="25"/>
      <c r="AR5" s="68" t="s">
        <v>113</v>
      </c>
      <c r="AS5" s="25"/>
      <c r="AT5" s="68" t="s">
        <v>114</v>
      </c>
      <c r="AU5" s="25"/>
      <c r="AV5" s="68" t="s">
        <v>115</v>
      </c>
      <c r="AW5" s="25"/>
      <c r="AX5" s="68" t="s">
        <v>116</v>
      </c>
      <c r="AY5" s="25"/>
      <c r="AZ5" s="68" t="s">
        <v>117</v>
      </c>
      <c r="BA5" s="25"/>
      <c r="BB5" s="85" t="s">
        <v>120</v>
      </c>
      <c r="BC5" s="25"/>
    </row>
    <row r="6" spans="1:55" s="6" customFormat="1" x14ac:dyDescent="0.15">
      <c r="A6" s="27" t="s">
        <v>4</v>
      </c>
      <c r="B6" s="4"/>
      <c r="C6" s="28">
        <v>9.0899999999999995E-2</v>
      </c>
      <c r="D6" s="83"/>
      <c r="E6" s="28">
        <v>9.3100000000000002E-2</v>
      </c>
      <c r="F6" s="83"/>
      <c r="G6" s="28">
        <v>9.3100000000000002E-2</v>
      </c>
      <c r="H6" s="83"/>
      <c r="I6" s="28">
        <v>7.3099999999999998E-2</v>
      </c>
      <c r="J6" s="83"/>
      <c r="K6" s="28">
        <v>7.8100000000000003E-2</v>
      </c>
      <c r="L6" s="83"/>
      <c r="M6" s="28">
        <v>7.8100000000000003E-2</v>
      </c>
      <c r="N6" s="83"/>
      <c r="O6" s="28">
        <v>7.8100000000000003E-2</v>
      </c>
      <c r="P6" s="83"/>
      <c r="Q6" s="28">
        <v>7.8100000000000003E-2</v>
      </c>
      <c r="R6" s="83"/>
      <c r="S6" s="28">
        <v>8.3099999999999993E-2</v>
      </c>
      <c r="T6" s="83"/>
      <c r="U6" s="28">
        <v>8.3099999999999993E-2</v>
      </c>
      <c r="V6" s="83"/>
      <c r="W6" s="28">
        <v>8.5599999999999996E-2</v>
      </c>
      <c r="X6" s="83"/>
      <c r="Y6" s="28">
        <v>8.5599999999999996E-2</v>
      </c>
      <c r="Z6" s="83"/>
      <c r="AA6" s="67">
        <f>SUM(C6:Y6)</f>
        <v>1</v>
      </c>
      <c r="AB6" s="25"/>
      <c r="AC6" s="82"/>
      <c r="AD6" s="25"/>
      <c r="AE6" s="82"/>
      <c r="AF6" s="25"/>
      <c r="AG6" s="82"/>
      <c r="AH6" s="25"/>
      <c r="AI6" s="82"/>
      <c r="AJ6" s="25"/>
      <c r="AK6" s="82"/>
      <c r="AL6" s="25"/>
      <c r="AM6" s="82"/>
      <c r="AN6" s="82"/>
      <c r="AO6" s="25"/>
      <c r="AP6" s="82"/>
      <c r="AQ6" s="25"/>
      <c r="AR6" s="82"/>
      <c r="AS6" s="25"/>
      <c r="AT6" s="82"/>
      <c r="AU6" s="25"/>
      <c r="AV6" s="82"/>
      <c r="AW6" s="25"/>
      <c r="AX6" s="82"/>
      <c r="AY6" s="25"/>
      <c r="AZ6" s="82"/>
      <c r="BA6" s="25"/>
      <c r="BB6" s="8"/>
      <c r="BC6" s="25"/>
    </row>
    <row r="7" spans="1:55" s="6" customFormat="1" hidden="1" outlineLevel="1" x14ac:dyDescent="0.15">
      <c r="A7" s="3" t="s">
        <v>70</v>
      </c>
      <c r="B7" s="3"/>
      <c r="C7" s="12">
        <f>C6*$AA$7</f>
        <v>55630.799999999996</v>
      </c>
      <c r="D7" s="30">
        <f>C7/$C$19</f>
        <v>6.6230497676272232E-2</v>
      </c>
      <c r="E7" s="12">
        <f>E6*$AA$7</f>
        <v>56977.200000000004</v>
      </c>
      <c r="F7" s="30">
        <f>E7/$E$19</f>
        <v>6.4448281066647642E-2</v>
      </c>
      <c r="G7" s="12">
        <f>G6*$AA$7</f>
        <v>56977.200000000004</v>
      </c>
      <c r="H7" s="30">
        <f>G7/$G$19</f>
        <v>6.2675924920083045E-2</v>
      </c>
      <c r="I7" s="12">
        <f>I6*$AA$7</f>
        <v>44737.2</v>
      </c>
      <c r="J7" s="30">
        <f>I7/$I$19</f>
        <v>6.0844727296055161E-2</v>
      </c>
      <c r="K7" s="12">
        <f>K6*$AA$7</f>
        <v>47797.200000000004</v>
      </c>
      <c r="L7" s="30">
        <f>K7/$K$19</f>
        <v>6.1379161284272649E-2</v>
      </c>
      <c r="M7" s="12">
        <f>M6*$AA$7</f>
        <v>47797.200000000004</v>
      </c>
      <c r="N7" s="30">
        <f>M7/$M$19</f>
        <v>6.1379161284272649E-2</v>
      </c>
      <c r="O7" s="12">
        <f>O6*$AA$7</f>
        <v>47797.200000000004</v>
      </c>
      <c r="P7" s="30">
        <f>O7/$O$19</f>
        <v>6.1379161284272649E-2</v>
      </c>
      <c r="Q7" s="12">
        <f>Q6*$AA$7</f>
        <v>47797.200000000004</v>
      </c>
      <c r="R7" s="30">
        <f>Q7/$Q$19</f>
        <v>6.1379161284272649E-2</v>
      </c>
      <c r="S7" s="12">
        <f>S6*$AA$7</f>
        <v>50857.2</v>
      </c>
      <c r="T7" s="30">
        <f>S7/$S$19</f>
        <v>6.1857105342883564E-2</v>
      </c>
      <c r="U7" s="12">
        <f>U6*$AA$7</f>
        <v>50857.2</v>
      </c>
      <c r="V7" s="30">
        <f>U7/$U$19</f>
        <v>6.1857105342883564E-2</v>
      </c>
      <c r="W7" s="12">
        <f>W6*$AA$7</f>
        <v>52387.199999999997</v>
      </c>
      <c r="X7" s="30">
        <f>W7/$W$19</f>
        <v>6.2077620503338982E-2</v>
      </c>
      <c r="Y7" s="12">
        <f>Y6*$AA$7</f>
        <v>52387.199999999997</v>
      </c>
      <c r="Z7" s="30">
        <f>Y7/$Y$19</f>
        <v>6.2077620503338982E-2</v>
      </c>
      <c r="AA7" s="29">
        <f>'Sales and Assumptions'!F28</f>
        <v>612000</v>
      </c>
      <c r="AB7" s="30">
        <f>AA7/$AA$19</f>
        <v>6.2350984589420948E-2</v>
      </c>
      <c r="AC7" s="12">
        <f>C7*115%</f>
        <v>63975.419999999991</v>
      </c>
      <c r="AD7" s="30">
        <f>AC7/$AC$19</f>
        <v>7.0422535211267595E-2</v>
      </c>
      <c r="AE7" s="12">
        <f>E7*115%</f>
        <v>65523.78</v>
      </c>
      <c r="AF7" s="30">
        <f>AE7/$AE$19</f>
        <v>7.0422535211267609E-2</v>
      </c>
      <c r="AG7" s="12">
        <f>G7*115%</f>
        <v>65523.78</v>
      </c>
      <c r="AH7" s="30">
        <f>AG7/$AG$19</f>
        <v>7.0422535211267609E-2</v>
      </c>
      <c r="AI7" s="12">
        <f>I7*115%</f>
        <v>51447.779999999992</v>
      </c>
      <c r="AJ7" s="30">
        <f>AI7/$AI$19</f>
        <v>7.0422535211267609E-2</v>
      </c>
      <c r="AK7" s="12">
        <f>K7*115%</f>
        <v>54966.78</v>
      </c>
      <c r="AL7" s="30">
        <f>AK7/$AK$19</f>
        <v>7.0422535211267609E-2</v>
      </c>
      <c r="AM7" s="26"/>
      <c r="AN7" s="12">
        <f>M7*115%</f>
        <v>54966.78</v>
      </c>
      <c r="AO7" s="30">
        <f>AN7/$AN$19</f>
        <v>7.0422535211267609E-2</v>
      </c>
      <c r="AP7" s="12">
        <f>O7*115%</f>
        <v>54966.78</v>
      </c>
      <c r="AQ7" s="30">
        <f>AP7/$AP$19</f>
        <v>7.0422535211267609E-2</v>
      </c>
      <c r="AR7" s="12">
        <f>Q7*115%</f>
        <v>54966.78</v>
      </c>
      <c r="AS7" s="30">
        <f>AR7/$AR$19</f>
        <v>7.0422535211267609E-2</v>
      </c>
      <c r="AT7" s="12">
        <f>S7*115%</f>
        <v>58485.779999999992</v>
      </c>
      <c r="AU7" s="30">
        <f>AT7/$AT$19</f>
        <v>7.0422535211267609E-2</v>
      </c>
      <c r="AV7" s="12">
        <f>U7*115%</f>
        <v>58485.779999999992</v>
      </c>
      <c r="AW7" s="30">
        <f>AV7/$AV$19</f>
        <v>7.0422535211267609E-2</v>
      </c>
      <c r="AX7" s="12">
        <f>W7*115%</f>
        <v>60245.279999999992</v>
      </c>
      <c r="AY7" s="30">
        <f>AX7/$AX$19</f>
        <v>7.0422535211267595E-2</v>
      </c>
      <c r="AZ7" s="12">
        <f>Y7*115%</f>
        <v>60245.279999999992</v>
      </c>
      <c r="BA7" s="30">
        <f>AZ7/$AZ$19</f>
        <v>7.0422535211267595E-2</v>
      </c>
      <c r="BB7" s="84">
        <f>SUM(AC7:BA7)</f>
        <v>703800.84507042251</v>
      </c>
      <c r="BC7" s="30">
        <f>BB7/$BB$19</f>
        <v>7.0422528164767184E-2</v>
      </c>
    </row>
    <row r="8" spans="1:55" s="13" customFormat="1" ht="11" hidden="1" outlineLevel="1" x14ac:dyDescent="0.15">
      <c r="A8" s="3" t="s">
        <v>71</v>
      </c>
      <c r="B8" s="3"/>
      <c r="C8" s="12">
        <f>C6*$AA$8</f>
        <v>222523.19999999998</v>
      </c>
      <c r="D8" s="30">
        <f>C8/$C$19</f>
        <v>0.26492199070508893</v>
      </c>
      <c r="E8" s="12">
        <f>E6*$AA$8</f>
        <v>227908.80000000002</v>
      </c>
      <c r="F8" s="30">
        <f>E8/$E$19</f>
        <v>0.25779312426659057</v>
      </c>
      <c r="G8" s="12">
        <f>G6*$AA$8</f>
        <v>227908.80000000002</v>
      </c>
      <c r="H8" s="30">
        <f>G8/$G$19</f>
        <v>0.25070369968033218</v>
      </c>
      <c r="I8" s="12">
        <f>I6*$AA$8</f>
        <v>178948.8</v>
      </c>
      <c r="J8" s="30">
        <f>I8/$I$19</f>
        <v>0.24337890918422064</v>
      </c>
      <c r="K8" s="12">
        <f>K6*$AA$8</f>
        <v>191188.80000000002</v>
      </c>
      <c r="L8" s="30">
        <f>K8/$K$19</f>
        <v>0.24551664513709059</v>
      </c>
      <c r="M8" s="12">
        <f>M6*$AA$8</f>
        <v>191188.80000000002</v>
      </c>
      <c r="N8" s="30">
        <f>M8/$M$19</f>
        <v>0.24551664513709059</v>
      </c>
      <c r="O8" s="12">
        <f>O6*$AA$8</f>
        <v>191188.80000000002</v>
      </c>
      <c r="P8" s="30">
        <f>O8/$O$19</f>
        <v>0.24551664513709059</v>
      </c>
      <c r="Q8" s="12">
        <f>Q6*$AA$8</f>
        <v>191188.80000000002</v>
      </c>
      <c r="R8" s="30">
        <f>Q8/$Q$19</f>
        <v>0.24551664513709059</v>
      </c>
      <c r="S8" s="12">
        <f>S6*$AA$8</f>
        <v>203428.8</v>
      </c>
      <c r="T8" s="30">
        <f>S8/$S$19</f>
        <v>0.24742842137153426</v>
      </c>
      <c r="U8" s="12">
        <f>U6*$AA$8</f>
        <v>203428.8</v>
      </c>
      <c r="V8" s="30">
        <f>U8/$U$19</f>
        <v>0.24742842137153426</v>
      </c>
      <c r="W8" s="12">
        <f>W6*$AA$8</f>
        <v>209548.79999999999</v>
      </c>
      <c r="X8" s="30">
        <f>W8/$W$19</f>
        <v>0.24831048201335593</v>
      </c>
      <c r="Y8" s="12">
        <f>Y6*$AA$8</f>
        <v>209548.79999999999</v>
      </c>
      <c r="Z8" s="30">
        <f>Y8/$Y$19</f>
        <v>0.24831048201335593</v>
      </c>
      <c r="AA8" s="29">
        <f>'Sales and Assumptions'!G28</f>
        <v>2448000</v>
      </c>
      <c r="AB8" s="30">
        <f>AA8/$AA$19</f>
        <v>0.24940393835768379</v>
      </c>
      <c r="AC8" s="12">
        <f t="shared" ref="AC8:AK9" si="0">C8*115%</f>
        <v>255901.67999999996</v>
      </c>
      <c r="AD8" s="30">
        <f>AC8/$AC$19</f>
        <v>0.28169014084507038</v>
      </c>
      <c r="AE8" s="12">
        <f t="shared" si="0"/>
        <v>262095.12</v>
      </c>
      <c r="AF8" s="30">
        <f>AE8/$AE$19</f>
        <v>0.28169014084507044</v>
      </c>
      <c r="AG8" s="12">
        <f t="shared" si="0"/>
        <v>262095.12</v>
      </c>
      <c r="AH8" s="30">
        <f>AG8/$AG$19</f>
        <v>0.28169014084507044</v>
      </c>
      <c r="AI8" s="12">
        <f t="shared" si="0"/>
        <v>205791.11999999997</v>
      </c>
      <c r="AJ8" s="30">
        <f>AI8/$AI$19</f>
        <v>0.28169014084507044</v>
      </c>
      <c r="AK8" s="12">
        <f t="shared" si="0"/>
        <v>219867.12</v>
      </c>
      <c r="AL8" s="30">
        <f>AK8/$AK$19</f>
        <v>0.28169014084507044</v>
      </c>
      <c r="AM8" s="31">
        <v>0.38762259287514744</v>
      </c>
      <c r="AN8" s="12">
        <f t="shared" ref="AN8:AZ9" si="1">M8*115%</f>
        <v>219867.12</v>
      </c>
      <c r="AO8" s="30">
        <f>AN8/$AN$19</f>
        <v>0.28169014084507044</v>
      </c>
      <c r="AP8" s="12">
        <f t="shared" si="1"/>
        <v>219867.12</v>
      </c>
      <c r="AQ8" s="30">
        <f>AP8/$AP$19</f>
        <v>0.28169014084507044</v>
      </c>
      <c r="AR8" s="12">
        <f t="shared" si="1"/>
        <v>219867.12</v>
      </c>
      <c r="AS8" s="30">
        <f>AR8/$AR$19</f>
        <v>0.28169014084507044</v>
      </c>
      <c r="AT8" s="12">
        <f t="shared" si="1"/>
        <v>233943.11999999997</v>
      </c>
      <c r="AU8" s="30">
        <f>AT8/$AT$19</f>
        <v>0.28169014084507044</v>
      </c>
      <c r="AV8" s="12">
        <f t="shared" si="1"/>
        <v>233943.11999999997</v>
      </c>
      <c r="AW8" s="30">
        <f>AV8/$AV$19</f>
        <v>0.28169014084507044</v>
      </c>
      <c r="AX8" s="12">
        <f t="shared" si="1"/>
        <v>240981.11999999997</v>
      </c>
      <c r="AY8" s="30">
        <f>AX8/$AX$19</f>
        <v>0.28169014084507038</v>
      </c>
      <c r="AZ8" s="12">
        <f t="shared" si="1"/>
        <v>240981.11999999997</v>
      </c>
      <c r="BA8" s="30">
        <f>AZ8/$AZ$19</f>
        <v>0.28169014084507038</v>
      </c>
      <c r="BB8" s="84">
        <f t="shared" ref="BB8:BB70" si="2">SUM(AC8:BA8)</f>
        <v>2815203.767904283</v>
      </c>
      <c r="BC8" s="30">
        <f>BB8/$BB$19</f>
        <v>0.28169015144470411</v>
      </c>
    </row>
    <row r="9" spans="1:55" s="13" customFormat="1" ht="11" hidden="1" collapsed="1" x14ac:dyDescent="0.15">
      <c r="A9" s="3" t="s">
        <v>137</v>
      </c>
      <c r="B9" s="3"/>
      <c r="C9" s="12">
        <f>C6*$AA$9</f>
        <v>0</v>
      </c>
      <c r="D9" s="30">
        <f>C9/$C$19</f>
        <v>0</v>
      </c>
      <c r="E9" s="12">
        <f>E6*$AA$9</f>
        <v>0</v>
      </c>
      <c r="F9" s="30">
        <f>E9/$E$19</f>
        <v>0</v>
      </c>
      <c r="G9" s="12">
        <f>G6*$AA$9</f>
        <v>0</v>
      </c>
      <c r="H9" s="30">
        <f>G9/$G$19</f>
        <v>0</v>
      </c>
      <c r="I9" s="12">
        <f>I6*$AA$9</f>
        <v>0</v>
      </c>
      <c r="J9" s="30">
        <f>I9/$I$19</f>
        <v>0</v>
      </c>
      <c r="K9" s="12">
        <f>K6*$AA$9</f>
        <v>0</v>
      </c>
      <c r="L9" s="30">
        <f>K9/$K$19</f>
        <v>0</v>
      </c>
      <c r="M9" s="12">
        <f>M6*$AA$9</f>
        <v>0</v>
      </c>
      <c r="N9" s="30">
        <f>M9/$M$19</f>
        <v>0</v>
      </c>
      <c r="O9" s="12">
        <f>O6*$AA$9</f>
        <v>0</v>
      </c>
      <c r="P9" s="30">
        <f>O9/$O$19</f>
        <v>0</v>
      </c>
      <c r="Q9" s="12">
        <f>Q6*$AA$9</f>
        <v>0</v>
      </c>
      <c r="R9" s="30">
        <f>Q9/$Q$19</f>
        <v>0</v>
      </c>
      <c r="S9" s="12">
        <f>S6*$AA$9</f>
        <v>0</v>
      </c>
      <c r="T9" s="30">
        <f>S9/$S$19</f>
        <v>0</v>
      </c>
      <c r="U9" s="12">
        <f>U6*$AA$9</f>
        <v>0</v>
      </c>
      <c r="V9" s="30">
        <f>U9/$U$19</f>
        <v>0</v>
      </c>
      <c r="W9" s="12">
        <f>W6*$AA$9</f>
        <v>0</v>
      </c>
      <c r="X9" s="30">
        <f>W9/$W$19</f>
        <v>0</v>
      </c>
      <c r="Y9" s="12">
        <f>Y6*$AA$9</f>
        <v>0</v>
      </c>
      <c r="Z9" s="30">
        <f>Y9/$Y$19</f>
        <v>0</v>
      </c>
      <c r="AA9" s="29">
        <f>'Sales and Assumptions'!H28</f>
        <v>0</v>
      </c>
      <c r="AB9" s="30">
        <f>AA9/$AA$19</f>
        <v>0</v>
      </c>
      <c r="AC9" s="12">
        <f t="shared" si="0"/>
        <v>0</v>
      </c>
      <c r="AD9" s="30">
        <f>AC9/$AC$19</f>
        <v>0</v>
      </c>
      <c r="AE9" s="12">
        <f t="shared" si="0"/>
        <v>0</v>
      </c>
      <c r="AF9" s="30">
        <f>AE9/$AE$19</f>
        <v>0</v>
      </c>
      <c r="AG9" s="12">
        <f t="shared" si="0"/>
        <v>0</v>
      </c>
      <c r="AH9" s="30">
        <f>AG9/$AG$19</f>
        <v>0</v>
      </c>
      <c r="AI9" s="12">
        <f t="shared" si="0"/>
        <v>0</v>
      </c>
      <c r="AJ9" s="30">
        <f>AI9/$AI$19</f>
        <v>0</v>
      </c>
      <c r="AK9" s="12">
        <f t="shared" si="0"/>
        <v>0</v>
      </c>
      <c r="AL9" s="30">
        <f>AK9/$AK$19</f>
        <v>0</v>
      </c>
      <c r="AM9" s="31">
        <v>0.50449957011227364</v>
      </c>
      <c r="AN9" s="12">
        <f t="shared" si="1"/>
        <v>0</v>
      </c>
      <c r="AO9" s="30">
        <f>AN9/$AN$19</f>
        <v>0</v>
      </c>
      <c r="AP9" s="12">
        <f t="shared" si="1"/>
        <v>0</v>
      </c>
      <c r="AQ9" s="30">
        <f>AP9/$AP$19</f>
        <v>0</v>
      </c>
      <c r="AR9" s="12">
        <f t="shared" si="1"/>
        <v>0</v>
      </c>
      <c r="AS9" s="30">
        <f>AR9/$AR$19</f>
        <v>0</v>
      </c>
      <c r="AT9" s="12">
        <f t="shared" si="1"/>
        <v>0</v>
      </c>
      <c r="AU9" s="30">
        <f>AT9/$AT$19</f>
        <v>0</v>
      </c>
      <c r="AV9" s="12">
        <f t="shared" si="1"/>
        <v>0</v>
      </c>
      <c r="AW9" s="30">
        <f>AV9/$AV$19</f>
        <v>0</v>
      </c>
      <c r="AX9" s="12">
        <f t="shared" si="1"/>
        <v>0</v>
      </c>
      <c r="AY9" s="30">
        <f>AX9/$AX$19</f>
        <v>0</v>
      </c>
      <c r="AZ9" s="12">
        <f t="shared" si="1"/>
        <v>0</v>
      </c>
      <c r="BA9" s="30">
        <f>AZ9/$AZ$19</f>
        <v>0</v>
      </c>
      <c r="BB9" s="84">
        <f t="shared" si="2"/>
        <v>0.50449957011227364</v>
      </c>
      <c r="BC9" s="30">
        <f>BB9/$BB$19</f>
        <v>5.0480381537179843E-8</v>
      </c>
    </row>
    <row r="10" spans="1:55" s="13" customFormat="1" ht="11" x14ac:dyDescent="0.15">
      <c r="A10" s="3" t="s">
        <v>89</v>
      </c>
      <c r="B10" s="3"/>
      <c r="C10" s="12">
        <f>SUM(C6:C9)</f>
        <v>278154.09089999995</v>
      </c>
      <c r="D10" s="30">
        <f>C10/C$19</f>
        <v>0.33115259660112861</v>
      </c>
      <c r="E10" s="12">
        <f>SUM(E6:E9)</f>
        <v>284886.0931</v>
      </c>
      <c r="F10" s="30">
        <f>E10/E$19</f>
        <v>0.32224151064088702</v>
      </c>
      <c r="G10" s="12">
        <f>SUM(G6:G9)</f>
        <v>284886.0931</v>
      </c>
      <c r="H10" s="30">
        <f>G10/G$19</f>
        <v>0.31337972701205724</v>
      </c>
      <c r="I10" s="12">
        <f>SUM(I6:I9)</f>
        <v>223686.07309999998</v>
      </c>
      <c r="J10" s="30">
        <f>I10/I$19</f>
        <v>0.30422373589976487</v>
      </c>
      <c r="K10" s="12">
        <f>SUM(K6:K9)</f>
        <v>238986.07810000001</v>
      </c>
      <c r="L10" s="30">
        <f>K10/K$19</f>
        <v>0.30689590671411043</v>
      </c>
      <c r="M10" s="12">
        <f>SUM(M6:M9)</f>
        <v>238986.07810000001</v>
      </c>
      <c r="N10" s="30">
        <f>M10/M$19</f>
        <v>0.30689590671411043</v>
      </c>
      <c r="O10" s="12">
        <f>SUM(O6:O9)</f>
        <v>238986.07810000001</v>
      </c>
      <c r="P10" s="30">
        <f>O10/O$19</f>
        <v>0.30689590671411043</v>
      </c>
      <c r="Q10" s="12">
        <f>SUM(Q6:Q9)</f>
        <v>238986.07810000001</v>
      </c>
      <c r="R10" s="30">
        <f>Q10/Q$19</f>
        <v>0.30689590671411043</v>
      </c>
      <c r="S10" s="12">
        <f>SUM(S6:S9)</f>
        <v>254286.08309999999</v>
      </c>
      <c r="T10" s="30">
        <f>S10/S$19</f>
        <v>0.30928562778811935</v>
      </c>
      <c r="U10" s="12">
        <f>SUM(U6:U9)</f>
        <v>254286.08309999999</v>
      </c>
      <c r="V10" s="30">
        <f>U10/U$19</f>
        <v>0.30928562778811935</v>
      </c>
      <c r="W10" s="12">
        <f>SUM(W6:W9)</f>
        <v>261936.08559999999</v>
      </c>
      <c r="X10" s="30">
        <f>W10/W$19</f>
        <v>0.31038820395071537</v>
      </c>
      <c r="Y10" s="12">
        <f>SUM(Y6:Y9)</f>
        <v>261936.08559999999</v>
      </c>
      <c r="Z10" s="30">
        <f>Y10/Y$19</f>
        <v>0.31038820395071537</v>
      </c>
      <c r="AA10" s="12">
        <f>SUM(AA6:AA9)</f>
        <v>3060001</v>
      </c>
      <c r="AB10" s="30">
        <f>AA10/AA$19</f>
        <v>0.31175502482779849</v>
      </c>
      <c r="AC10" s="12">
        <f>SUM(AC6:AC9)</f>
        <v>319877.09999999998</v>
      </c>
      <c r="AD10" s="30">
        <f>AC10/AC$19</f>
        <v>0.35211267605633806</v>
      </c>
      <c r="AE10" s="12">
        <f>SUM(AE6:AE9)</f>
        <v>327618.90000000002</v>
      </c>
      <c r="AF10" s="30">
        <f>AE10/AE$19</f>
        <v>0.35211267605633806</v>
      </c>
      <c r="AG10" s="12">
        <f>SUM(AG6:AG9)</f>
        <v>327618.90000000002</v>
      </c>
      <c r="AH10" s="30">
        <f>AG10/AG$19</f>
        <v>0.35211267605633806</v>
      </c>
      <c r="AI10" s="12">
        <f>SUM(AI6:AI9)</f>
        <v>257238.89999999997</v>
      </c>
      <c r="AJ10" s="30">
        <f>AI10/AI$19</f>
        <v>0.352112676056338</v>
      </c>
      <c r="AK10" s="12">
        <f>SUM(AK6:AK9)</f>
        <v>274833.90000000002</v>
      </c>
      <c r="AL10" s="30">
        <f>AK10/AK$19</f>
        <v>0.35211267605633806</v>
      </c>
      <c r="AM10" s="31"/>
      <c r="AN10" s="12">
        <f>SUM(AN6:AN9)</f>
        <v>274833.90000000002</v>
      </c>
      <c r="AO10" s="30">
        <f>AN10/AN$19</f>
        <v>0.35211267605633806</v>
      </c>
      <c r="AP10" s="12">
        <f>SUM(AP6:AP9)</f>
        <v>274833.90000000002</v>
      </c>
      <c r="AQ10" s="30">
        <f>AP10/AP$19</f>
        <v>0.35211267605633806</v>
      </c>
      <c r="AR10" s="12">
        <f>SUM(AR6:AR9)</f>
        <v>274833.90000000002</v>
      </c>
      <c r="AS10" s="30">
        <f>AR10/AR$19</f>
        <v>0.35211267605633806</v>
      </c>
      <c r="AT10" s="12">
        <f>SUM(AT6:AT9)</f>
        <v>292428.89999999997</v>
      </c>
      <c r="AU10" s="30">
        <f>AT10/AT$19</f>
        <v>0.35211267605633806</v>
      </c>
      <c r="AV10" s="12">
        <f>SUM(AV6:AV9)</f>
        <v>292428.89999999997</v>
      </c>
      <c r="AW10" s="30">
        <f>AV10/AV$19</f>
        <v>0.35211267605633806</v>
      </c>
      <c r="AX10" s="12">
        <f>SUM(AX6:AX9)</f>
        <v>301226.39999999997</v>
      </c>
      <c r="AY10" s="30">
        <f>AX10/AX$19</f>
        <v>0.352112676056338</v>
      </c>
      <c r="AZ10" s="12">
        <f>SUM(AZ6:AZ9)</f>
        <v>301226.39999999997</v>
      </c>
      <c r="BA10" s="30">
        <f>AZ10/AZ$19</f>
        <v>0.352112676056338</v>
      </c>
      <c r="BB10" s="84">
        <f t="shared" si="2"/>
        <v>3519004.2253521117</v>
      </c>
      <c r="BC10" s="30">
        <f>BB10/BB$19</f>
        <v>0.35211264082383581</v>
      </c>
    </row>
    <row r="11" spans="1:55" s="13" customFormat="1" ht="3" customHeight="1" x14ac:dyDescent="0.15">
      <c r="A11" s="3"/>
      <c r="B11" s="3"/>
      <c r="C11" s="12"/>
      <c r="D11" s="30"/>
      <c r="E11" s="12"/>
      <c r="F11" s="30"/>
      <c r="G11" s="12"/>
      <c r="H11" s="30"/>
      <c r="I11" s="12"/>
      <c r="J11" s="30"/>
      <c r="K11" s="12"/>
      <c r="L11" s="30"/>
      <c r="M11" s="12"/>
      <c r="N11" s="30"/>
      <c r="O11" s="12"/>
      <c r="P11" s="30"/>
      <c r="Q11" s="12"/>
      <c r="R11" s="30"/>
      <c r="S11" s="12"/>
      <c r="T11" s="30"/>
      <c r="U11" s="12"/>
      <c r="V11" s="30"/>
      <c r="W11" s="12"/>
      <c r="X11" s="30"/>
      <c r="Y11" s="12"/>
      <c r="Z11" s="30"/>
      <c r="AA11" s="29"/>
      <c r="AB11" s="30"/>
      <c r="AC11" s="12"/>
      <c r="AD11" s="30"/>
      <c r="AE11" s="12"/>
      <c r="AF11" s="30"/>
      <c r="AG11" s="12"/>
      <c r="AH11" s="30"/>
      <c r="AI11" s="12"/>
      <c r="AJ11" s="30"/>
      <c r="AK11" s="12"/>
      <c r="AL11" s="30"/>
      <c r="AM11" s="31"/>
      <c r="AN11" s="12"/>
      <c r="AO11" s="30"/>
      <c r="AP11" s="12"/>
      <c r="AQ11" s="30"/>
      <c r="AR11" s="12"/>
      <c r="AS11" s="30"/>
      <c r="AT11" s="12"/>
      <c r="AU11" s="30"/>
      <c r="AV11" s="12"/>
      <c r="AW11" s="30"/>
      <c r="AX11" s="12"/>
      <c r="AY11" s="30"/>
      <c r="AZ11" s="12"/>
      <c r="BA11" s="30"/>
      <c r="BB11" s="84">
        <f t="shared" si="2"/>
        <v>0</v>
      </c>
      <c r="BC11" s="30"/>
    </row>
    <row r="12" spans="1:55" s="13" customFormat="1" ht="11" hidden="1" outlineLevel="1" x14ac:dyDescent="0.15">
      <c r="A12" s="3" t="s">
        <v>90</v>
      </c>
      <c r="B12" s="3"/>
      <c r="C12" s="12">
        <f>C$16*45%</f>
        <v>230311.51199999999</v>
      </c>
      <c r="D12" s="30">
        <f>C12/C$19</f>
        <v>0.27419426037976707</v>
      </c>
      <c r="E12" s="12">
        <f>E$16*45%</f>
        <v>235885.60800000001</v>
      </c>
      <c r="F12" s="30">
        <f>E12/E$19</f>
        <v>0.26681588361592123</v>
      </c>
      <c r="G12" s="12">
        <f>G$16*45%</f>
        <v>235885.60800000001</v>
      </c>
      <c r="H12" s="30">
        <f>G12/G$19</f>
        <v>0.25947832916914382</v>
      </c>
      <c r="I12" s="12">
        <f>I$16*45%</f>
        <v>185212.008</v>
      </c>
      <c r="J12" s="30">
        <f>I12/I$19</f>
        <v>0.25189717100566839</v>
      </c>
      <c r="K12" s="12">
        <f>K$16*45%</f>
        <v>197880.408</v>
      </c>
      <c r="L12" s="30">
        <f>K12/K$19</f>
        <v>0.25410972771688872</v>
      </c>
      <c r="M12" s="12">
        <f>M$16*45%</f>
        <v>197880.408</v>
      </c>
      <c r="N12" s="30">
        <f>M12/M$19</f>
        <v>0.25410972771688872</v>
      </c>
      <c r="O12" s="12">
        <f>O$16*45%</f>
        <v>197880.408</v>
      </c>
      <c r="P12" s="30">
        <f>O12/O$19</f>
        <v>0.25410972771688872</v>
      </c>
      <c r="Q12" s="12">
        <f>Q$16*45%</f>
        <v>197880.408</v>
      </c>
      <c r="R12" s="30">
        <f>Q12/Q$19</f>
        <v>0.25410972771688872</v>
      </c>
      <c r="S12" s="12">
        <f>S$16*45%</f>
        <v>210548.80799999999</v>
      </c>
      <c r="T12" s="30">
        <f>S12/S$19</f>
        <v>0.25608841611953798</v>
      </c>
      <c r="U12" s="12">
        <f>U$16*45%</f>
        <v>210548.80799999999</v>
      </c>
      <c r="V12" s="30">
        <f>U12/U$19</f>
        <v>0.25608841611953798</v>
      </c>
      <c r="W12" s="12">
        <f>W$16*45%</f>
        <v>216883.008</v>
      </c>
      <c r="X12" s="30">
        <f>W12/W$19</f>
        <v>0.25700134888382342</v>
      </c>
      <c r="Y12" s="12">
        <f>Y$16*45%</f>
        <v>216883.008</v>
      </c>
      <c r="Z12" s="30">
        <f>Y12/Y$19</f>
        <v>0.25700134888382342</v>
      </c>
      <c r="AA12" s="12">
        <f>AA$16*45%</f>
        <v>2533680</v>
      </c>
      <c r="AB12" s="30">
        <f>AA12/AA$19</f>
        <v>0.2581330762002027</v>
      </c>
      <c r="AC12" s="12">
        <f t="shared" ref="AC12:AK16" si="3">C12*115%</f>
        <v>264858.23879999999</v>
      </c>
      <c r="AD12" s="30">
        <f>AC12/AC$19</f>
        <v>0.29154929577464789</v>
      </c>
      <c r="AE12" s="12">
        <f t="shared" si="3"/>
        <v>271268.44919999997</v>
      </c>
      <c r="AF12" s="30">
        <f>AE12/AE$19</f>
        <v>0.29154929577464789</v>
      </c>
      <c r="AG12" s="12">
        <f t="shared" si="3"/>
        <v>271268.44919999997</v>
      </c>
      <c r="AH12" s="30">
        <f>AG12/AG$19</f>
        <v>0.29154929577464789</v>
      </c>
      <c r="AI12" s="12">
        <f t="shared" si="3"/>
        <v>212993.80919999999</v>
      </c>
      <c r="AJ12" s="30">
        <f>AI12/AI$19</f>
        <v>0.29154929577464789</v>
      </c>
      <c r="AK12" s="12">
        <f t="shared" si="3"/>
        <v>227562.46919999996</v>
      </c>
      <c r="AL12" s="30">
        <f>AK12/AK$19</f>
        <v>0.29154929577464783</v>
      </c>
      <c r="AM12" s="31"/>
      <c r="AN12" s="12">
        <f>M12*115%</f>
        <v>227562.46919999996</v>
      </c>
      <c r="AO12" s="30">
        <f>AN12/AN$19</f>
        <v>0.29154929577464783</v>
      </c>
      <c r="AP12" s="12">
        <f>O12*115%</f>
        <v>227562.46919999996</v>
      </c>
      <c r="AQ12" s="30">
        <f>AP12/AP$19</f>
        <v>0.29154929577464783</v>
      </c>
      <c r="AR12" s="12">
        <f>Q12*115%</f>
        <v>227562.46919999996</v>
      </c>
      <c r="AS12" s="30">
        <f>AR12/AR$19</f>
        <v>0.29154929577464783</v>
      </c>
      <c r="AT12" s="12">
        <f>S12*115%</f>
        <v>242131.12919999997</v>
      </c>
      <c r="AU12" s="30">
        <f>AT12/AT$19</f>
        <v>0.29154929577464789</v>
      </c>
      <c r="AV12" s="12">
        <f>U12*115%</f>
        <v>242131.12919999997</v>
      </c>
      <c r="AW12" s="30">
        <f>AV12/AV$19</f>
        <v>0.29154929577464789</v>
      </c>
      <c r="AX12" s="12">
        <f>W12*115%</f>
        <v>249415.45919999998</v>
      </c>
      <c r="AY12" s="30">
        <f>AX12/AX$19</f>
        <v>0.29154929577464783</v>
      </c>
      <c r="AZ12" s="12">
        <f>Y12*115%</f>
        <v>249415.45919999998</v>
      </c>
      <c r="BA12" s="30">
        <f>AZ12/AZ$19</f>
        <v>0.29154929577464783</v>
      </c>
      <c r="BB12" s="84">
        <f t="shared" si="2"/>
        <v>2913735.4985915488</v>
      </c>
      <c r="BC12" s="30">
        <f>BB12/BB$19</f>
        <v>0.29154926660213609</v>
      </c>
    </row>
    <row r="13" spans="1:55" s="13" customFormat="1" ht="11" hidden="1" outlineLevel="1" x14ac:dyDescent="0.15">
      <c r="A13" s="3" t="s">
        <v>91</v>
      </c>
      <c r="B13" s="3"/>
      <c r="C13" s="12">
        <f>C$16*35%</f>
        <v>179131.17599999998</v>
      </c>
      <c r="D13" s="30">
        <f>C13/C$19</f>
        <v>0.21326220251759659</v>
      </c>
      <c r="E13" s="12">
        <f>E$16*35%</f>
        <v>183466.58399999997</v>
      </c>
      <c r="F13" s="30">
        <f>E13/E$19</f>
        <v>0.20752346503460539</v>
      </c>
      <c r="G13" s="12">
        <f>G$16*35%</f>
        <v>183466.58399999997</v>
      </c>
      <c r="H13" s="30">
        <f t="shared" ref="H13:H15" si="4">G13/G$19</f>
        <v>0.20181647824266738</v>
      </c>
      <c r="I13" s="12">
        <f>I$16*35%</f>
        <v>144053.78399999999</v>
      </c>
      <c r="J13" s="30">
        <f t="shared" ref="J13:J15" si="5">I13/I$19</f>
        <v>0.1959200218932976</v>
      </c>
      <c r="K13" s="12">
        <f>K$16*35%</f>
        <v>153906.984</v>
      </c>
      <c r="L13" s="30">
        <f t="shared" ref="L13:L15" si="6">K13/K$19</f>
        <v>0.19764089933535792</v>
      </c>
      <c r="M13" s="12">
        <f>M$16*35%</f>
        <v>153906.984</v>
      </c>
      <c r="N13" s="30">
        <f t="shared" ref="N13:N15" si="7">M13/M$19</f>
        <v>0.19764089933535792</v>
      </c>
      <c r="O13" s="12">
        <f>O$16*35%</f>
        <v>153906.984</v>
      </c>
      <c r="P13" s="30">
        <f t="shared" ref="P13:P15" si="8">O13/O$19</f>
        <v>0.19764089933535792</v>
      </c>
      <c r="Q13" s="12">
        <f>Q$16*35%</f>
        <v>153906.984</v>
      </c>
      <c r="R13" s="30">
        <f t="shared" ref="R13:R15" si="9">Q13/Q$19</f>
        <v>0.19764089933535792</v>
      </c>
      <c r="S13" s="12">
        <f>S$16*35%</f>
        <v>163760.18399999998</v>
      </c>
      <c r="T13" s="30">
        <f t="shared" ref="T13:T15" si="10">S13/S$19</f>
        <v>0.19917987920408506</v>
      </c>
      <c r="U13" s="12">
        <f>U$16*35%</f>
        <v>163760.18399999998</v>
      </c>
      <c r="V13" s="30">
        <f t="shared" ref="V13:V15" si="11">U13/U$19</f>
        <v>0.19917987920408506</v>
      </c>
      <c r="W13" s="12">
        <f>W$16*35%</f>
        <v>168686.78399999999</v>
      </c>
      <c r="X13" s="30">
        <f t="shared" ref="X13:X15" si="12">W13/W$19</f>
        <v>0.19988993802075153</v>
      </c>
      <c r="Y13" s="12">
        <f>Y$16*35%</f>
        <v>168686.78399999999</v>
      </c>
      <c r="Z13" s="30">
        <f t="shared" ref="Z13:Z15" si="13">Y13/Y$19</f>
        <v>0.19988993802075153</v>
      </c>
      <c r="AA13" s="12">
        <f>AA$16*35%</f>
        <v>1970639.9999999998</v>
      </c>
      <c r="AB13" s="30">
        <f>AA13/AA$19</f>
        <v>0.20077017037793543</v>
      </c>
      <c r="AC13" s="12">
        <f t="shared" si="3"/>
        <v>206000.85239999995</v>
      </c>
      <c r="AD13" s="30">
        <f t="shared" ref="AD13:AD15" si="14">AC13/AC$19</f>
        <v>0.22676056338028164</v>
      </c>
      <c r="AE13" s="12">
        <f t="shared" si="3"/>
        <v>210986.57159999997</v>
      </c>
      <c r="AF13" s="30">
        <f t="shared" ref="AF13:AF15" si="15">AE13/AE$19</f>
        <v>0.22676056338028167</v>
      </c>
      <c r="AG13" s="12">
        <f t="shared" si="3"/>
        <v>210986.57159999997</v>
      </c>
      <c r="AH13" s="30">
        <f t="shared" ref="AH13:AH15" si="16">AG13/AG$19</f>
        <v>0.22676056338028167</v>
      </c>
      <c r="AI13" s="12">
        <f t="shared" si="3"/>
        <v>165661.85159999997</v>
      </c>
      <c r="AJ13" s="30">
        <f t="shared" ref="AJ13:AJ15" si="17">AI13/AI$19</f>
        <v>0.22676056338028167</v>
      </c>
      <c r="AK13" s="12">
        <f t="shared" si="3"/>
        <v>176993.03159999999</v>
      </c>
      <c r="AL13" s="30">
        <f>AK13/AK$19</f>
        <v>0.22676056338028169</v>
      </c>
      <c r="AM13" s="31"/>
      <c r="AN13" s="12">
        <f t="shared" ref="AN13:AZ16" si="18">M13*115%</f>
        <v>176993.03159999999</v>
      </c>
      <c r="AO13" s="30">
        <f>AN13/AN$19</f>
        <v>0.22676056338028169</v>
      </c>
      <c r="AP13" s="12">
        <f t="shared" si="18"/>
        <v>176993.03159999999</v>
      </c>
      <c r="AQ13" s="30">
        <f>AP13/AP$19</f>
        <v>0.22676056338028169</v>
      </c>
      <c r="AR13" s="12">
        <f t="shared" si="18"/>
        <v>176993.03159999999</v>
      </c>
      <c r="AS13" s="30">
        <f>AR13/AR$19</f>
        <v>0.22676056338028169</v>
      </c>
      <c r="AT13" s="12">
        <f t="shared" si="18"/>
        <v>188324.21159999995</v>
      </c>
      <c r="AU13" s="30">
        <f>AT13/AT$19</f>
        <v>0.22676056338028167</v>
      </c>
      <c r="AV13" s="12">
        <f t="shared" si="18"/>
        <v>188324.21159999995</v>
      </c>
      <c r="AW13" s="30">
        <f>AV13/AV$19</f>
        <v>0.22676056338028167</v>
      </c>
      <c r="AX13" s="12">
        <f t="shared" si="18"/>
        <v>193989.80159999998</v>
      </c>
      <c r="AY13" s="30">
        <f>AX13/AX$19</f>
        <v>0.22676056338028167</v>
      </c>
      <c r="AZ13" s="12">
        <f t="shared" si="18"/>
        <v>193989.80159999998</v>
      </c>
      <c r="BA13" s="30">
        <f>AZ13/AZ$19</f>
        <v>0.22676056338028167</v>
      </c>
      <c r="BB13" s="84">
        <f t="shared" si="2"/>
        <v>2266238.7211267604</v>
      </c>
      <c r="BC13" s="30">
        <f>BB13/BB$19</f>
        <v>0.22676054069055032</v>
      </c>
    </row>
    <row r="14" spans="1:55" s="13" customFormat="1" ht="11" hidden="1" outlineLevel="1" x14ac:dyDescent="0.15">
      <c r="A14" s="3" t="s">
        <v>92</v>
      </c>
      <c r="B14" s="3"/>
      <c r="C14" s="12">
        <f>C16*15%</f>
        <v>76770.504000000001</v>
      </c>
      <c r="D14" s="30">
        <f>C14/C$19</f>
        <v>9.1398086793255687E-2</v>
      </c>
      <c r="E14" s="12">
        <f>E16*15%</f>
        <v>78628.535999999993</v>
      </c>
      <c r="F14" s="30">
        <f>E14/E$19</f>
        <v>8.8938627871973736E-2</v>
      </c>
      <c r="G14" s="12">
        <f>G16*15%</f>
        <v>78628.535999999993</v>
      </c>
      <c r="H14" s="30">
        <f t="shared" si="4"/>
        <v>8.6492776389714587E-2</v>
      </c>
      <c r="I14" s="12">
        <f>I16*15%</f>
        <v>61737.335999999996</v>
      </c>
      <c r="J14" s="30">
        <f t="shared" si="5"/>
        <v>8.3965723668556119E-2</v>
      </c>
      <c r="K14" s="12">
        <f>K16*15%</f>
        <v>65960.135999999999</v>
      </c>
      <c r="L14" s="30">
        <f t="shared" si="6"/>
        <v>8.470324257229625E-2</v>
      </c>
      <c r="M14" s="12">
        <f>M16*15%</f>
        <v>65960.135999999999</v>
      </c>
      <c r="N14" s="30">
        <f t="shared" si="7"/>
        <v>8.470324257229625E-2</v>
      </c>
      <c r="O14" s="12">
        <f>O16*15%</f>
        <v>65960.135999999999</v>
      </c>
      <c r="P14" s="30">
        <f t="shared" si="8"/>
        <v>8.470324257229625E-2</v>
      </c>
      <c r="Q14" s="12">
        <f>Q16*15%</f>
        <v>65960.135999999999</v>
      </c>
      <c r="R14" s="30">
        <f t="shared" si="9"/>
        <v>8.470324257229625E-2</v>
      </c>
      <c r="S14" s="12">
        <f>S16*15%</f>
        <v>70182.936000000002</v>
      </c>
      <c r="T14" s="30">
        <f t="shared" si="10"/>
        <v>8.5362805373179321E-2</v>
      </c>
      <c r="U14" s="12">
        <f>U16*15%</f>
        <v>70182.936000000002</v>
      </c>
      <c r="V14" s="30">
        <f t="shared" si="11"/>
        <v>8.5362805373179321E-2</v>
      </c>
      <c r="W14" s="12">
        <f>W16*15%</f>
        <v>72294.335999999996</v>
      </c>
      <c r="X14" s="30">
        <f t="shared" si="12"/>
        <v>8.5667116294607798E-2</v>
      </c>
      <c r="Y14" s="12">
        <f>Y16*15%</f>
        <v>72294.335999999996</v>
      </c>
      <c r="Z14" s="30">
        <f t="shared" si="13"/>
        <v>8.5667116294607798E-2</v>
      </c>
      <c r="AA14" s="12">
        <f>AA16*15%</f>
        <v>844560</v>
      </c>
      <c r="AB14" s="30">
        <f>AA14/AA$19</f>
        <v>8.6044358733400911E-2</v>
      </c>
      <c r="AC14" s="12">
        <f t="shared" si="3"/>
        <v>88286.079599999997</v>
      </c>
      <c r="AD14" s="30">
        <f t="shared" si="14"/>
        <v>9.7183098591549305E-2</v>
      </c>
      <c r="AE14" s="12">
        <f t="shared" si="3"/>
        <v>90422.816399999982</v>
      </c>
      <c r="AF14" s="30">
        <f t="shared" si="15"/>
        <v>9.7183098591549277E-2</v>
      </c>
      <c r="AG14" s="12">
        <f t="shared" si="3"/>
        <v>90422.816399999982</v>
      </c>
      <c r="AH14" s="30">
        <f t="shared" si="16"/>
        <v>9.7183098591549277E-2</v>
      </c>
      <c r="AI14" s="12">
        <f t="shared" si="3"/>
        <v>70997.936399999991</v>
      </c>
      <c r="AJ14" s="30">
        <f t="shared" si="17"/>
        <v>9.7183098591549291E-2</v>
      </c>
      <c r="AK14" s="12">
        <f t="shared" si="3"/>
        <v>75854.156399999993</v>
      </c>
      <c r="AL14" s="30">
        <f>AK14/AK$19</f>
        <v>9.7183098591549291E-2</v>
      </c>
      <c r="AM14" s="31"/>
      <c r="AN14" s="12">
        <f t="shared" si="18"/>
        <v>75854.156399999993</v>
      </c>
      <c r="AO14" s="30">
        <f>AN14/AN$19</f>
        <v>9.7183098591549291E-2</v>
      </c>
      <c r="AP14" s="12">
        <f t="shared" si="18"/>
        <v>75854.156399999993</v>
      </c>
      <c r="AQ14" s="30">
        <f>AP14/AP$19</f>
        <v>9.7183098591549291E-2</v>
      </c>
      <c r="AR14" s="12">
        <f t="shared" si="18"/>
        <v>75854.156399999993</v>
      </c>
      <c r="AS14" s="30">
        <f>AR14/AR$19</f>
        <v>9.7183098591549291E-2</v>
      </c>
      <c r="AT14" s="12">
        <f t="shared" si="18"/>
        <v>80710.376399999994</v>
      </c>
      <c r="AU14" s="30">
        <f>AT14/AT$19</f>
        <v>9.7183098591549305E-2</v>
      </c>
      <c r="AV14" s="12">
        <f t="shared" si="18"/>
        <v>80710.376399999994</v>
      </c>
      <c r="AW14" s="30">
        <f>AV14/AV$19</f>
        <v>9.7183098591549305E-2</v>
      </c>
      <c r="AX14" s="12">
        <f t="shared" si="18"/>
        <v>83138.486399999994</v>
      </c>
      <c r="AY14" s="30">
        <f>AX14/AX$19</f>
        <v>9.7183098591549291E-2</v>
      </c>
      <c r="AZ14" s="12">
        <f t="shared" si="18"/>
        <v>83138.486399999994</v>
      </c>
      <c r="BA14" s="30">
        <f>AZ14/AZ$19</f>
        <v>9.7183098591549291E-2</v>
      </c>
      <c r="BB14" s="84">
        <f t="shared" si="2"/>
        <v>971245.16619718284</v>
      </c>
      <c r="BC14" s="30">
        <f>BB14/BB$19</f>
        <v>9.7183088867378684E-2</v>
      </c>
    </row>
    <row r="15" spans="1:55" s="13" customFormat="1" ht="11" hidden="1" outlineLevel="1" x14ac:dyDescent="0.15">
      <c r="A15" s="3" t="s">
        <v>93</v>
      </c>
      <c r="B15" s="3"/>
      <c r="C15" s="12">
        <f>C16*5%</f>
        <v>25590.168000000001</v>
      </c>
      <c r="D15" s="30">
        <f>C15/C$19</f>
        <v>3.0466028931085232E-2</v>
      </c>
      <c r="E15" s="12">
        <f>E16*5%</f>
        <v>26209.512000000002</v>
      </c>
      <c r="F15" s="30">
        <f>E15/E$19</f>
        <v>2.9646209290657918E-2</v>
      </c>
      <c r="G15" s="12">
        <f>G16*5%</f>
        <v>26209.512000000002</v>
      </c>
      <c r="H15" s="30">
        <f t="shared" si="4"/>
        <v>2.8830925463238202E-2</v>
      </c>
      <c r="I15" s="12">
        <f>I16*5%</f>
        <v>20579.112000000001</v>
      </c>
      <c r="J15" s="30">
        <f t="shared" si="5"/>
        <v>2.7988574556185378E-2</v>
      </c>
      <c r="K15" s="12">
        <f>K16*5%</f>
        <v>21986.712</v>
      </c>
      <c r="L15" s="30">
        <f t="shared" si="6"/>
        <v>2.8234414190765417E-2</v>
      </c>
      <c r="M15" s="12">
        <f>M16*5%</f>
        <v>21986.712</v>
      </c>
      <c r="N15" s="30">
        <f t="shared" si="7"/>
        <v>2.8234414190765417E-2</v>
      </c>
      <c r="O15" s="12">
        <f>O16*5%</f>
        <v>21986.712</v>
      </c>
      <c r="P15" s="30">
        <f t="shared" si="8"/>
        <v>2.8234414190765417E-2</v>
      </c>
      <c r="Q15" s="12">
        <f>Q16*5%</f>
        <v>21986.712</v>
      </c>
      <c r="R15" s="30">
        <f t="shared" si="9"/>
        <v>2.8234414190765417E-2</v>
      </c>
      <c r="S15" s="12">
        <f>S16*5%</f>
        <v>23394.312000000002</v>
      </c>
      <c r="T15" s="30">
        <f t="shared" si="10"/>
        <v>2.8454268457726445E-2</v>
      </c>
      <c r="U15" s="12">
        <f>U16*5%</f>
        <v>23394.312000000002</v>
      </c>
      <c r="V15" s="30">
        <f t="shared" si="11"/>
        <v>2.8454268457726445E-2</v>
      </c>
      <c r="W15" s="12">
        <f>W16*5%</f>
        <v>24098.112000000001</v>
      </c>
      <c r="X15" s="30">
        <f t="shared" si="12"/>
        <v>2.8555705431535936E-2</v>
      </c>
      <c r="Y15" s="12">
        <f>Y16*5%</f>
        <v>24098.112000000001</v>
      </c>
      <c r="Z15" s="30">
        <f t="shared" si="13"/>
        <v>2.8555705431535936E-2</v>
      </c>
      <c r="AA15" s="12">
        <f>AA16*5%</f>
        <v>281520</v>
      </c>
      <c r="AB15" s="30">
        <f>AA15/AA$19</f>
        <v>2.8681452911133637E-2</v>
      </c>
      <c r="AC15" s="12">
        <f t="shared" si="3"/>
        <v>29428.693199999998</v>
      </c>
      <c r="AD15" s="30">
        <f t="shared" si="14"/>
        <v>3.2394366197183097E-2</v>
      </c>
      <c r="AE15" s="12">
        <f t="shared" si="3"/>
        <v>30140.9388</v>
      </c>
      <c r="AF15" s="30">
        <f t="shared" si="15"/>
        <v>3.2394366197183097E-2</v>
      </c>
      <c r="AG15" s="12">
        <f t="shared" si="3"/>
        <v>30140.9388</v>
      </c>
      <c r="AH15" s="30">
        <f t="shared" si="16"/>
        <v>3.2394366197183097E-2</v>
      </c>
      <c r="AI15" s="12">
        <f t="shared" si="3"/>
        <v>23665.978800000001</v>
      </c>
      <c r="AJ15" s="30">
        <f t="shared" si="17"/>
        <v>3.2394366197183104E-2</v>
      </c>
      <c r="AK15" s="12">
        <f t="shared" si="3"/>
        <v>25284.718799999999</v>
      </c>
      <c r="AL15" s="30">
        <f>AK15/AK$19</f>
        <v>3.2394366197183097E-2</v>
      </c>
      <c r="AM15" s="31"/>
      <c r="AN15" s="12">
        <f>M15*115%</f>
        <v>25284.718799999999</v>
      </c>
      <c r="AO15" s="30">
        <f>AN15/AN$19</f>
        <v>3.2394366197183097E-2</v>
      </c>
      <c r="AP15" s="12">
        <f>O15*115%</f>
        <v>25284.718799999999</v>
      </c>
      <c r="AQ15" s="30">
        <f>AP15/AP$19</f>
        <v>3.2394366197183097E-2</v>
      </c>
      <c r="AR15" s="12">
        <f>Q15*115%</f>
        <v>25284.718799999999</v>
      </c>
      <c r="AS15" s="30">
        <f>AR15/AR$19</f>
        <v>3.2394366197183097E-2</v>
      </c>
      <c r="AT15" s="12">
        <f>S15*115%</f>
        <v>26903.4588</v>
      </c>
      <c r="AU15" s="30">
        <f>AT15/AT$19</f>
        <v>3.2394366197183104E-2</v>
      </c>
      <c r="AV15" s="12">
        <f>U15*115%</f>
        <v>26903.4588</v>
      </c>
      <c r="AW15" s="30">
        <f>AV15/AV$19</f>
        <v>3.2394366197183104E-2</v>
      </c>
      <c r="AX15" s="12">
        <f>W15*115%</f>
        <v>27712.828799999999</v>
      </c>
      <c r="AY15" s="30">
        <f>AX15/AX$19</f>
        <v>3.2394366197183097E-2</v>
      </c>
      <c r="AZ15" s="12">
        <f>Y15*115%</f>
        <v>27712.828799999999</v>
      </c>
      <c r="BA15" s="30">
        <f>AZ15/AZ$19</f>
        <v>3.2394366197183097E-2</v>
      </c>
      <c r="BB15" s="84">
        <f t="shared" si="2"/>
        <v>323748.38873239444</v>
      </c>
      <c r="BC15" s="30">
        <f>BB15/BB$19</f>
        <v>3.2394362955792913E-2</v>
      </c>
    </row>
    <row r="16" spans="1:55" s="13" customFormat="1" ht="11" collapsed="1" x14ac:dyDescent="0.15">
      <c r="A16" s="3" t="s">
        <v>5</v>
      </c>
      <c r="B16" s="3"/>
      <c r="C16" s="12">
        <f>C6*$AA$16</f>
        <v>511803.36</v>
      </c>
      <c r="D16" s="30">
        <f>C16/$C$19</f>
        <v>0.60932057862170463</v>
      </c>
      <c r="E16" s="12">
        <f>E6*$AA$16</f>
        <v>524190.24</v>
      </c>
      <c r="F16" s="30">
        <f>E16/$E$19</f>
        <v>0.59292418581315831</v>
      </c>
      <c r="G16" s="12">
        <f>G6*$AA$16</f>
        <v>524190.24</v>
      </c>
      <c r="H16" s="30">
        <f>G16/$G$19</f>
        <v>0.57661850926476399</v>
      </c>
      <c r="I16" s="12">
        <f>I6*$AA$16</f>
        <v>411582.24</v>
      </c>
      <c r="J16" s="30">
        <f>I16/$I$19</f>
        <v>0.5597714911237075</v>
      </c>
      <c r="K16" s="12">
        <f>K6*$AA$16</f>
        <v>439734.24</v>
      </c>
      <c r="L16" s="30">
        <f>K16/$K$19</f>
        <v>0.56468828381530833</v>
      </c>
      <c r="M16" s="12">
        <f>M6*$AA$16</f>
        <v>439734.24</v>
      </c>
      <c r="N16" s="30">
        <f>M16/$M$19</f>
        <v>0.56468828381530833</v>
      </c>
      <c r="O16" s="12">
        <f>O6*$AA$16</f>
        <v>439734.24</v>
      </c>
      <c r="P16" s="30">
        <f>O16/$O$19</f>
        <v>0.56468828381530833</v>
      </c>
      <c r="Q16" s="12">
        <f>Q6*$AA$16</f>
        <v>439734.24</v>
      </c>
      <c r="R16" s="30">
        <f>Q16/$Q$19</f>
        <v>0.56468828381530833</v>
      </c>
      <c r="S16" s="12">
        <f>S6*$AA$16</f>
        <v>467886.24</v>
      </c>
      <c r="T16" s="30">
        <f>S16/$S$19</f>
        <v>0.56908536915452879</v>
      </c>
      <c r="U16" s="12">
        <f>U6*$AA$16</f>
        <v>467886.24</v>
      </c>
      <c r="V16" s="30">
        <f>U16/$U$19</f>
        <v>0.56908536915452879</v>
      </c>
      <c r="W16" s="12">
        <f>W6*$AA$16</f>
        <v>481962.23999999999</v>
      </c>
      <c r="X16" s="30">
        <f>W16/$W$19</f>
        <v>0.57111410863071865</v>
      </c>
      <c r="Y16" s="12">
        <f>Y6*$AA$16</f>
        <v>481962.23999999999</v>
      </c>
      <c r="Z16" s="30">
        <f>Y16/$Y$19</f>
        <v>0.57111410863071865</v>
      </c>
      <c r="AA16" s="29">
        <f>'Sales and Assumptions'!J28+'Sales and Assumptions'!K28+'Sales and Assumptions'!I28</f>
        <v>5630400</v>
      </c>
      <c r="AB16" s="30">
        <f>AA16/$AA$19</f>
        <v>0.57362905822267274</v>
      </c>
      <c r="AC16" s="12">
        <f t="shared" si="3"/>
        <v>588573.86399999994</v>
      </c>
      <c r="AD16" s="30">
        <f>AC16/$AC$19</f>
        <v>0.647887323943662</v>
      </c>
      <c r="AE16" s="12">
        <f t="shared" si="3"/>
        <v>602818.77599999995</v>
      </c>
      <c r="AF16" s="30">
        <f>AE16/$AE$19</f>
        <v>0.64788732394366189</v>
      </c>
      <c r="AG16" s="12">
        <f t="shared" si="3"/>
        <v>602818.77599999995</v>
      </c>
      <c r="AH16" s="30">
        <f>AG16/$AG$19</f>
        <v>0.64788732394366189</v>
      </c>
      <c r="AI16" s="12">
        <f t="shared" si="3"/>
        <v>473319.57599999994</v>
      </c>
      <c r="AJ16" s="30">
        <f>AI16/$AI$19</f>
        <v>0.647887323943662</v>
      </c>
      <c r="AK16" s="12">
        <f t="shared" si="3"/>
        <v>505694.37599999993</v>
      </c>
      <c r="AL16" s="30">
        <f>AK16/$AK$19</f>
        <v>0.64788732394366189</v>
      </c>
      <c r="AM16" s="31">
        <v>0.10787783701257887</v>
      </c>
      <c r="AN16" s="12">
        <f t="shared" si="18"/>
        <v>505694.37599999993</v>
      </c>
      <c r="AO16" s="30">
        <f>AN16/$AN$19</f>
        <v>0.64788732394366189</v>
      </c>
      <c r="AP16" s="12">
        <f t="shared" si="18"/>
        <v>505694.37599999993</v>
      </c>
      <c r="AQ16" s="30">
        <f>AP16/$AP$19</f>
        <v>0.64788732394366189</v>
      </c>
      <c r="AR16" s="12">
        <f t="shared" si="18"/>
        <v>505694.37599999993</v>
      </c>
      <c r="AS16" s="30">
        <f>AR16/$AR$19</f>
        <v>0.64788732394366189</v>
      </c>
      <c r="AT16" s="12">
        <f t="shared" si="18"/>
        <v>538069.17599999998</v>
      </c>
      <c r="AU16" s="30">
        <f>AT16/$AT$19</f>
        <v>0.647887323943662</v>
      </c>
      <c r="AV16" s="12">
        <f t="shared" si="18"/>
        <v>538069.17599999998</v>
      </c>
      <c r="AW16" s="30">
        <f>AV16/$AV$19</f>
        <v>0.647887323943662</v>
      </c>
      <c r="AX16" s="12">
        <f t="shared" si="18"/>
        <v>554256.576</v>
      </c>
      <c r="AY16" s="30">
        <f>AX16/$AX$19</f>
        <v>0.647887323943662</v>
      </c>
      <c r="AZ16" s="12">
        <f t="shared" si="18"/>
        <v>554256.576</v>
      </c>
      <c r="BA16" s="30">
        <f>AZ16/$AZ$19</f>
        <v>0.647887323943662</v>
      </c>
      <c r="BB16" s="84">
        <f t="shared" si="2"/>
        <v>6474967.8825257253</v>
      </c>
      <c r="BC16" s="30">
        <f>BB16/$BB$19</f>
        <v>0.64788726991014767</v>
      </c>
    </row>
    <row r="17" spans="1:55" s="13" customFormat="1" ht="3.75" customHeight="1" x14ac:dyDescent="0.15">
      <c r="A17" s="3"/>
      <c r="B17" s="3"/>
      <c r="C17" s="12"/>
      <c r="D17" s="30"/>
      <c r="E17" s="12"/>
      <c r="F17" s="30"/>
      <c r="G17" s="12"/>
      <c r="H17" s="30"/>
      <c r="I17" s="12"/>
      <c r="J17" s="30"/>
      <c r="K17" s="12"/>
      <c r="L17" s="30"/>
      <c r="M17" s="12"/>
      <c r="N17" s="30"/>
      <c r="O17" s="12"/>
      <c r="P17" s="30"/>
      <c r="Q17" s="12"/>
      <c r="R17" s="30"/>
      <c r="S17" s="12"/>
      <c r="T17" s="30"/>
      <c r="U17" s="12"/>
      <c r="V17" s="30"/>
      <c r="W17" s="12"/>
      <c r="X17" s="30"/>
      <c r="Y17" s="12"/>
      <c r="Z17" s="30"/>
      <c r="AA17" s="29"/>
      <c r="AB17" s="30"/>
      <c r="AC17" s="12"/>
      <c r="AD17" s="30"/>
      <c r="AE17" s="12"/>
      <c r="AF17" s="30"/>
      <c r="AG17" s="12"/>
      <c r="AH17" s="30"/>
      <c r="AI17" s="12"/>
      <c r="AJ17" s="30"/>
      <c r="AK17" s="12"/>
      <c r="AL17" s="30"/>
      <c r="AM17" s="31"/>
      <c r="AN17" s="12"/>
      <c r="AO17" s="30"/>
      <c r="AP17" s="12"/>
      <c r="AQ17" s="30"/>
      <c r="AR17" s="12"/>
      <c r="AS17" s="30"/>
      <c r="AT17" s="12"/>
      <c r="AU17" s="30"/>
      <c r="AV17" s="12"/>
      <c r="AW17" s="30"/>
      <c r="AX17" s="12"/>
      <c r="AY17" s="30"/>
      <c r="AZ17" s="12"/>
      <c r="BA17" s="30"/>
      <c r="BB17" s="84"/>
      <c r="BC17" s="30"/>
    </row>
    <row r="18" spans="1:55" s="13" customFormat="1" ht="11" x14ac:dyDescent="0.15">
      <c r="A18" s="3" t="s">
        <v>131</v>
      </c>
      <c r="B18" s="3"/>
      <c r="C18" s="12">
        <v>50000</v>
      </c>
      <c r="D18" s="30">
        <f>C18/$C$19</f>
        <v>5.9526824777166823E-2</v>
      </c>
      <c r="E18" s="12">
        <v>75000</v>
      </c>
      <c r="F18" s="30">
        <f>E18/$C$19</f>
        <v>8.9290237165750228E-2</v>
      </c>
      <c r="G18" s="12">
        <v>100000</v>
      </c>
      <c r="H18" s="30">
        <f>G18/$C$19</f>
        <v>0.11905364955433365</v>
      </c>
      <c r="I18" s="12">
        <v>100000</v>
      </c>
      <c r="J18" s="30">
        <f>I18/$C$19</f>
        <v>0.11905364955433365</v>
      </c>
      <c r="K18" s="12">
        <v>100000</v>
      </c>
      <c r="L18" s="30">
        <f>K18/$C$19</f>
        <v>0.11905364955433365</v>
      </c>
      <c r="M18" s="12">
        <v>100000</v>
      </c>
      <c r="N18" s="30">
        <f>M18/$C$19</f>
        <v>0.11905364955433365</v>
      </c>
      <c r="O18" s="12">
        <v>100000</v>
      </c>
      <c r="P18" s="30">
        <f>O18/$C$19</f>
        <v>0.11905364955433365</v>
      </c>
      <c r="Q18" s="12">
        <v>100000</v>
      </c>
      <c r="R18" s="30">
        <f>Q18/$C$19</f>
        <v>0.11905364955433365</v>
      </c>
      <c r="S18" s="12">
        <v>100000</v>
      </c>
      <c r="T18" s="30">
        <f>S18/$C$19</f>
        <v>0.11905364955433365</v>
      </c>
      <c r="U18" s="12">
        <v>100000</v>
      </c>
      <c r="V18" s="30">
        <f>U18/$C$19</f>
        <v>0.11905364955433365</v>
      </c>
      <c r="W18" s="12">
        <v>100000</v>
      </c>
      <c r="X18" s="30">
        <f>W18/$C$19</f>
        <v>0.11905364955433365</v>
      </c>
      <c r="Y18" s="12">
        <v>100000</v>
      </c>
      <c r="Z18" s="30">
        <f>Y18/$C$19</f>
        <v>0.11905364955433365</v>
      </c>
      <c r="AA18" s="12">
        <f>SUM(C18:Z18)</f>
        <v>1125001.3393535577</v>
      </c>
      <c r="AB18" s="30">
        <f>AA18/AA19</f>
        <v>0.11461591694952876</v>
      </c>
      <c r="AC18" s="12"/>
      <c r="AD18" s="30"/>
      <c r="AE18" s="12"/>
      <c r="AF18" s="30"/>
      <c r="AG18" s="12"/>
      <c r="AH18" s="30"/>
      <c r="AI18" s="12"/>
      <c r="AJ18" s="30"/>
      <c r="AK18" s="12"/>
      <c r="AL18" s="30"/>
      <c r="AM18" s="31"/>
      <c r="AN18" s="12"/>
      <c r="AO18" s="30"/>
      <c r="AP18" s="12"/>
      <c r="AQ18" s="30"/>
      <c r="AR18" s="12"/>
      <c r="AS18" s="30"/>
      <c r="AT18" s="12"/>
      <c r="AU18" s="30"/>
      <c r="AV18" s="12"/>
      <c r="AW18" s="30"/>
      <c r="AX18" s="12"/>
      <c r="AY18" s="30"/>
      <c r="AZ18" s="12"/>
      <c r="BA18" s="30"/>
      <c r="BB18" s="84"/>
      <c r="BC18" s="30"/>
    </row>
    <row r="19" spans="1:55" s="16" customFormat="1" ht="11" x14ac:dyDescent="0.15">
      <c r="A19" s="32" t="s">
        <v>6</v>
      </c>
      <c r="B19" s="14"/>
      <c r="C19" s="33">
        <f>C10+C16+C18</f>
        <v>839957.45089999994</v>
      </c>
      <c r="D19" s="30">
        <f>C19/$C$19</f>
        <v>1</v>
      </c>
      <c r="E19" s="33">
        <f>E10+E16+E18</f>
        <v>884076.33309999993</v>
      </c>
      <c r="F19" s="30">
        <f>E19/$E$19</f>
        <v>1</v>
      </c>
      <c r="G19" s="33">
        <f>G10+G16+G18</f>
        <v>909076.33309999993</v>
      </c>
      <c r="H19" s="30">
        <f>G19/$G$19</f>
        <v>1</v>
      </c>
      <c r="I19" s="33">
        <f>I10+I16+I18</f>
        <v>735268.31309999991</v>
      </c>
      <c r="J19" s="30">
        <f>I19/$I$19</f>
        <v>1</v>
      </c>
      <c r="K19" s="33">
        <f>K10+K16+K18</f>
        <v>778720.31810000003</v>
      </c>
      <c r="L19" s="30">
        <f>K19/$K$19</f>
        <v>1</v>
      </c>
      <c r="M19" s="33">
        <f>M10+M16+M18</f>
        <v>778720.31810000003</v>
      </c>
      <c r="N19" s="30">
        <f>M19/$M$19</f>
        <v>1</v>
      </c>
      <c r="O19" s="33">
        <f>O10+O16+O18</f>
        <v>778720.31810000003</v>
      </c>
      <c r="P19" s="30">
        <f>O19/$O$19</f>
        <v>1</v>
      </c>
      <c r="Q19" s="33">
        <f>Q10+Q16+Q18</f>
        <v>778720.31810000003</v>
      </c>
      <c r="R19" s="30">
        <f>Q19/$Q$19</f>
        <v>1</v>
      </c>
      <c r="S19" s="33">
        <f>S10+S16+S18</f>
        <v>822172.32309999992</v>
      </c>
      <c r="T19" s="30">
        <f>S19/$S$19</f>
        <v>1</v>
      </c>
      <c r="U19" s="33">
        <f>U10+U16+U18</f>
        <v>822172.32309999992</v>
      </c>
      <c r="V19" s="30">
        <f>U19/$U$19</f>
        <v>1</v>
      </c>
      <c r="W19" s="33">
        <f>W10+W16+W18</f>
        <v>843898.32559999998</v>
      </c>
      <c r="X19" s="30">
        <f>W19/$W$19</f>
        <v>1</v>
      </c>
      <c r="Y19" s="33">
        <f>Y10+Y16+Y18</f>
        <v>843898.32559999998</v>
      </c>
      <c r="Z19" s="30">
        <f>Y19/$Y$19</f>
        <v>1</v>
      </c>
      <c r="AA19" s="33">
        <f>AA10+AA16+AA18</f>
        <v>9815402.3393535577</v>
      </c>
      <c r="AB19" s="30">
        <f>AA19/$AA$19</f>
        <v>1</v>
      </c>
      <c r="AC19" s="33">
        <f>AC10+AC16</f>
        <v>908450.96399999992</v>
      </c>
      <c r="AD19" s="30">
        <f>AC19/$AC$19</f>
        <v>1</v>
      </c>
      <c r="AE19" s="33">
        <f>AE10+AE16</f>
        <v>930437.67599999998</v>
      </c>
      <c r="AF19" s="30">
        <f>AE19/$AE$19</f>
        <v>1</v>
      </c>
      <c r="AG19" s="33">
        <f>AG10+AG16</f>
        <v>930437.67599999998</v>
      </c>
      <c r="AH19" s="30">
        <f>AG19/$AG$19</f>
        <v>1</v>
      </c>
      <c r="AI19" s="33">
        <f>AI10+AI16</f>
        <v>730558.47599999991</v>
      </c>
      <c r="AJ19" s="30">
        <f>AI19/$AI$19</f>
        <v>1</v>
      </c>
      <c r="AK19" s="33">
        <f>AK10+AK16</f>
        <v>780528.27599999995</v>
      </c>
      <c r="AL19" s="30">
        <f>AK19/$AK$19</f>
        <v>1</v>
      </c>
      <c r="AM19" s="34">
        <v>1</v>
      </c>
      <c r="AN19" s="33">
        <f>AN10+AN16</f>
        <v>780528.27599999995</v>
      </c>
      <c r="AO19" s="30">
        <f>AN19/$AN$19</f>
        <v>1</v>
      </c>
      <c r="AP19" s="33">
        <f>AP10+AP16</f>
        <v>780528.27599999995</v>
      </c>
      <c r="AQ19" s="30">
        <f>AP19/$AP$19</f>
        <v>1</v>
      </c>
      <c r="AR19" s="33">
        <f>AR10+AR16</f>
        <v>780528.27599999995</v>
      </c>
      <c r="AS19" s="30">
        <f>AR19/$AR$19</f>
        <v>1</v>
      </c>
      <c r="AT19" s="33">
        <f>AT10+AT16</f>
        <v>830498.07599999988</v>
      </c>
      <c r="AU19" s="30">
        <f>AT19/$AT$19</f>
        <v>1</v>
      </c>
      <c r="AV19" s="33">
        <f>AV10+AV16</f>
        <v>830498.07599999988</v>
      </c>
      <c r="AW19" s="30">
        <f>AV19/$AV$19</f>
        <v>1</v>
      </c>
      <c r="AX19" s="33">
        <f>AX10+AX16</f>
        <v>855482.97600000002</v>
      </c>
      <c r="AY19" s="30">
        <f>AX19/$AX$19</f>
        <v>1</v>
      </c>
      <c r="AZ19" s="33">
        <f>AZ10+AZ16</f>
        <v>855482.97600000002</v>
      </c>
      <c r="BA19" s="30">
        <f>AZ19/$AZ$19</f>
        <v>1</v>
      </c>
      <c r="BB19" s="86">
        <f t="shared" si="2"/>
        <v>9993972.9999999963</v>
      </c>
      <c r="BC19" s="30">
        <f>BB19/$BB$19</f>
        <v>1</v>
      </c>
    </row>
    <row r="20" spans="1:55" s="13" customFormat="1" ht="3.75" customHeight="1" x14ac:dyDescent="0.15">
      <c r="A20" s="3"/>
      <c r="B20" s="3"/>
      <c r="C20" s="12"/>
      <c r="D20" s="30"/>
      <c r="E20" s="12"/>
      <c r="F20" s="30"/>
      <c r="G20" s="12"/>
      <c r="H20" s="30"/>
      <c r="I20" s="12"/>
      <c r="J20" s="30"/>
      <c r="K20" s="12"/>
      <c r="L20" s="30"/>
      <c r="M20" s="12"/>
      <c r="N20" s="30"/>
      <c r="O20" s="12"/>
      <c r="P20" s="30"/>
      <c r="Q20" s="12"/>
      <c r="R20" s="30"/>
      <c r="S20" s="12"/>
      <c r="T20" s="30"/>
      <c r="U20" s="12"/>
      <c r="V20" s="30"/>
      <c r="W20" s="12"/>
      <c r="X20" s="30"/>
      <c r="Y20" s="12"/>
      <c r="Z20" s="30"/>
      <c r="AA20" s="29"/>
      <c r="AB20" s="30"/>
      <c r="AC20" s="12"/>
      <c r="AD20" s="30"/>
      <c r="AE20" s="12"/>
      <c r="AF20" s="30"/>
      <c r="AH20" s="30"/>
      <c r="AJ20" s="30"/>
      <c r="AL20" s="30"/>
      <c r="AM20" s="31"/>
      <c r="AO20" s="30"/>
      <c r="AQ20" s="30"/>
      <c r="AS20" s="30"/>
      <c r="AU20" s="30"/>
      <c r="AW20" s="30"/>
      <c r="AY20" s="30"/>
      <c r="BA20" s="30"/>
      <c r="BB20" s="84"/>
      <c r="BC20" s="30"/>
    </row>
    <row r="21" spans="1:55" s="13" customFormat="1" ht="11" x14ac:dyDescent="0.15">
      <c r="A21" s="27" t="s">
        <v>7</v>
      </c>
      <c r="B21" s="3"/>
      <c r="C21" s="12"/>
      <c r="D21" s="30"/>
      <c r="E21" s="12"/>
      <c r="F21" s="30"/>
      <c r="G21" s="12"/>
      <c r="H21" s="30"/>
      <c r="I21" s="12"/>
      <c r="J21" s="30"/>
      <c r="K21" s="12"/>
      <c r="L21" s="30"/>
      <c r="M21" s="12"/>
      <c r="N21" s="30"/>
      <c r="O21" s="12"/>
      <c r="P21" s="30"/>
      <c r="Q21" s="12"/>
      <c r="R21" s="30"/>
      <c r="S21" s="12"/>
      <c r="T21" s="30"/>
      <c r="U21" s="12"/>
      <c r="V21" s="30"/>
      <c r="W21" s="12"/>
      <c r="X21" s="30"/>
      <c r="Y21" s="12"/>
      <c r="Z21" s="30"/>
      <c r="AA21" s="29"/>
      <c r="AB21" s="30"/>
      <c r="AC21" s="12"/>
      <c r="AD21" s="30"/>
      <c r="AE21" s="12"/>
      <c r="AF21" s="30"/>
      <c r="AH21" s="30"/>
      <c r="AJ21" s="30"/>
      <c r="AL21" s="30"/>
      <c r="AM21" s="31"/>
      <c r="AO21" s="30"/>
      <c r="AQ21" s="30"/>
      <c r="AS21" s="30"/>
      <c r="AU21" s="30"/>
      <c r="AW21" s="30"/>
      <c r="AY21" s="30"/>
      <c r="BA21" s="30"/>
      <c r="BB21" s="84"/>
      <c r="BC21" s="30"/>
    </row>
    <row r="22" spans="1:55" s="13" customFormat="1" ht="11" x14ac:dyDescent="0.15">
      <c r="A22" s="3" t="s">
        <v>127</v>
      </c>
      <c r="B22" s="3"/>
      <c r="C22" s="12">
        <f t="shared" ref="C22:W22" si="19">(C8+C9+C7)*30%</f>
        <v>83446.2</v>
      </c>
      <c r="D22" s="30">
        <f>C22/$C$19</f>
        <v>9.9345746514408362E-2</v>
      </c>
      <c r="E22" s="12">
        <f t="shared" si="19"/>
        <v>85465.8</v>
      </c>
      <c r="F22" s="30">
        <f>E22/$E$19</f>
        <v>9.667242159997147E-2</v>
      </c>
      <c r="G22" s="12">
        <f t="shared" si="19"/>
        <v>85465.8</v>
      </c>
      <c r="H22" s="30">
        <f>G22/$G$19</f>
        <v>9.4013887380124575E-2</v>
      </c>
      <c r="I22" s="12">
        <f t="shared" si="19"/>
        <v>67105.8</v>
      </c>
      <c r="J22" s="30">
        <f>I22/$I$19</f>
        <v>9.1267090944082752E-2</v>
      </c>
      <c r="K22" s="12">
        <f t="shared" si="19"/>
        <v>71695.8</v>
      </c>
      <c r="L22" s="30">
        <f>K22/$K$19</f>
        <v>9.2068741926408973E-2</v>
      </c>
      <c r="M22" s="12">
        <f t="shared" si="19"/>
        <v>71695.8</v>
      </c>
      <c r="N22" s="30">
        <f>M22/$M$19</f>
        <v>9.2068741926408973E-2</v>
      </c>
      <c r="O22" s="12">
        <f t="shared" si="19"/>
        <v>71695.8</v>
      </c>
      <c r="P22" s="30">
        <f>O22/$O$19</f>
        <v>9.2068741926408973E-2</v>
      </c>
      <c r="Q22" s="12">
        <f t="shared" si="19"/>
        <v>71695.8</v>
      </c>
      <c r="R22" s="30">
        <f>Q22/$Q$19</f>
        <v>9.2068741926408973E-2</v>
      </c>
      <c r="S22" s="12">
        <f t="shared" si="19"/>
        <v>76285.8</v>
      </c>
      <c r="T22" s="30">
        <f>S22/$S$19</f>
        <v>9.2785658014325353E-2</v>
      </c>
      <c r="U22" s="12">
        <f t="shared" si="19"/>
        <v>76285.8</v>
      </c>
      <c r="V22" s="30">
        <f>U22/$U$19</f>
        <v>9.2785658014325353E-2</v>
      </c>
      <c r="W22" s="12">
        <f t="shared" si="19"/>
        <v>78580.800000000003</v>
      </c>
      <c r="X22" s="30">
        <f>W22/$W$19</f>
        <v>9.3116430755008486E-2</v>
      </c>
      <c r="Y22" s="12">
        <f>(Y8+Y9+Y7)*30%</f>
        <v>78580.800000000003</v>
      </c>
      <c r="Z22" s="30">
        <f>Y22/$Y$19</f>
        <v>9.3116430755008486E-2</v>
      </c>
      <c r="AA22" s="29">
        <f>SUM(C22:Y22)</f>
        <v>918001.02826186107</v>
      </c>
      <c r="AB22" s="30">
        <f>AA22/$AA$19</f>
        <v>9.3526581644163206E-2</v>
      </c>
      <c r="AC22" s="12">
        <f t="shared" ref="AC22:AI22" si="20">(AC8+AC9+AC7)*30%</f>
        <v>95963.12999999999</v>
      </c>
      <c r="AD22" s="30">
        <f>AC22/$AC$19</f>
        <v>0.10563380281690141</v>
      </c>
      <c r="AE22" s="12">
        <f t="shared" si="20"/>
        <v>98285.67</v>
      </c>
      <c r="AF22" s="30">
        <f>AE22/$AE$19</f>
        <v>0.10563380281690141</v>
      </c>
      <c r="AG22" s="12">
        <f t="shared" si="20"/>
        <v>98285.67</v>
      </c>
      <c r="AH22" s="30">
        <f>AG22/$AG$19</f>
        <v>0.10563380281690141</v>
      </c>
      <c r="AI22" s="12">
        <f t="shared" si="20"/>
        <v>77171.669999999984</v>
      </c>
      <c r="AJ22" s="30">
        <f>AI22/$AI$19</f>
        <v>0.10563380281690139</v>
      </c>
      <c r="AK22" s="12">
        <f t="shared" ref="AK22" si="21">(AK8+AK9+AK7)*30%</f>
        <v>82450.17</v>
      </c>
      <c r="AL22" s="30">
        <f>AK22/$AK$19</f>
        <v>0.10563380281690141</v>
      </c>
      <c r="AM22" s="31">
        <v>0.28976351334312356</v>
      </c>
      <c r="AN22" s="12">
        <f t="shared" ref="AN22" si="22">(AN8+AN9+AN7)*30%</f>
        <v>82450.17</v>
      </c>
      <c r="AO22" s="30">
        <f>AN22/$AN$19</f>
        <v>0.10563380281690141</v>
      </c>
      <c r="AP22" s="12">
        <f t="shared" ref="AP22" si="23">(AP8+AP9+AP7)*30%</f>
        <v>82450.17</v>
      </c>
      <c r="AQ22" s="30">
        <f>AP22/$AP$19</f>
        <v>0.10563380281690141</v>
      </c>
      <c r="AR22" s="12">
        <f t="shared" ref="AR22" si="24">(AR8+AR9+AR7)*30%</f>
        <v>82450.17</v>
      </c>
      <c r="AS22" s="30">
        <f>AR22/$AR$19</f>
        <v>0.10563380281690141</v>
      </c>
      <c r="AT22" s="12">
        <f t="shared" ref="AT22" si="25">(AT8+AT9+AT7)*30%</f>
        <v>87728.669999999984</v>
      </c>
      <c r="AU22" s="30">
        <f>AT22/$AT$19</f>
        <v>0.10563380281690141</v>
      </c>
      <c r="AV22" s="12">
        <f t="shared" ref="AV22" si="26">(AV8+AV9+AV7)*30%</f>
        <v>87728.669999999984</v>
      </c>
      <c r="AW22" s="30">
        <f>AV22/$AV$19</f>
        <v>0.10563380281690141</v>
      </c>
      <c r="AX22" s="12">
        <f t="shared" ref="AX22" si="27">(AX8+AX9+AX7)*30%</f>
        <v>90367.919999999984</v>
      </c>
      <c r="AY22" s="30">
        <f>AX22/$AX$19</f>
        <v>0.10563380281690139</v>
      </c>
      <c r="AZ22" s="12">
        <f t="shared" ref="AZ22" si="28">(AZ8+AZ9+AZ7)*30%</f>
        <v>90367.919999999984</v>
      </c>
      <c r="BA22" s="30">
        <f>AZ22/$AZ$19</f>
        <v>0.10563380281690139</v>
      </c>
      <c r="BB22" s="84">
        <f t="shared" si="2"/>
        <v>1055701.5573691474</v>
      </c>
      <c r="BC22" s="30">
        <f>BB22/$BB$19</f>
        <v>0.10563382124097671</v>
      </c>
    </row>
    <row r="23" spans="1:55" s="13" customFormat="1" ht="11" x14ac:dyDescent="0.15">
      <c r="A23" s="3" t="s">
        <v>128</v>
      </c>
      <c r="B23" s="3"/>
      <c r="C23" s="12">
        <f>C16*21%</f>
        <v>107478.70559999999</v>
      </c>
      <c r="D23" s="30">
        <f>C23/$C$19</f>
        <v>0.12795732151055794</v>
      </c>
      <c r="E23" s="12">
        <f>E16*21%</f>
        <v>110079.95039999999</v>
      </c>
      <c r="F23" s="30">
        <f>E23/$E$19</f>
        <v>0.12451407902076322</v>
      </c>
      <c r="G23" s="12">
        <f>G16*21%</f>
        <v>110079.95039999999</v>
      </c>
      <c r="H23" s="30">
        <f>G23/$G$19</f>
        <v>0.12108988694560043</v>
      </c>
      <c r="I23" s="12">
        <f>I16*21%</f>
        <v>86432.270399999994</v>
      </c>
      <c r="J23" s="30">
        <f>I23/$I$19</f>
        <v>0.11755201313597857</v>
      </c>
      <c r="K23" s="12">
        <f>K16*21%</f>
        <v>92344.190399999992</v>
      </c>
      <c r="L23" s="30">
        <f>K23/$K$19</f>
        <v>0.11858453960121473</v>
      </c>
      <c r="M23" s="12">
        <f>M16*21%</f>
        <v>92344.190399999992</v>
      </c>
      <c r="N23" s="30">
        <f>M23/$M$19</f>
        <v>0.11858453960121473</v>
      </c>
      <c r="O23" s="12">
        <f>O16*21%</f>
        <v>92344.190399999992</v>
      </c>
      <c r="P23" s="30">
        <f>O23/$O$19</f>
        <v>0.11858453960121473</v>
      </c>
      <c r="Q23" s="12">
        <f>Q16*21%</f>
        <v>92344.190399999992</v>
      </c>
      <c r="R23" s="30">
        <f>Q23/$Q$19</f>
        <v>0.11858453960121473</v>
      </c>
      <c r="S23" s="12">
        <f>S16*21%</f>
        <v>98256.11039999999</v>
      </c>
      <c r="T23" s="30">
        <f>S23/$S$19</f>
        <v>0.11950792752245104</v>
      </c>
      <c r="U23" s="12">
        <f>U16*21%</f>
        <v>98256.11039999999</v>
      </c>
      <c r="V23" s="30">
        <f>U23/$U$19</f>
        <v>0.11950792752245104</v>
      </c>
      <c r="W23" s="12">
        <f>W16*21%</f>
        <v>101212.0704</v>
      </c>
      <c r="X23" s="30">
        <f>W23/$W$19</f>
        <v>0.11993396281245092</v>
      </c>
      <c r="Y23" s="12">
        <f>Y16*21%</f>
        <v>101212.0704</v>
      </c>
      <c r="Z23" s="30">
        <f>Y23/$Y$19</f>
        <v>0.11993396281245092</v>
      </c>
      <c r="AA23" s="29">
        <f>SUM(C23:Y23)</f>
        <v>1182385.3244012769</v>
      </c>
      <c r="AB23" s="30">
        <f>AA23/$AA$19</f>
        <v>0.1204622371576822</v>
      </c>
      <c r="AC23" s="12">
        <f t="shared" ref="AC23:AI23" si="29">AC16*20%</f>
        <v>117714.77279999999</v>
      </c>
      <c r="AD23" s="30">
        <f>AC23/$AC$19</f>
        <v>0.12957746478873239</v>
      </c>
      <c r="AE23" s="12">
        <f t="shared" si="29"/>
        <v>120563.7552</v>
      </c>
      <c r="AF23" s="30">
        <f>AE23/$AE$19</f>
        <v>0.12957746478873239</v>
      </c>
      <c r="AG23" s="12">
        <f t="shared" si="29"/>
        <v>120563.7552</v>
      </c>
      <c r="AH23" s="30">
        <f>AG23/$AG$19</f>
        <v>0.12957746478873239</v>
      </c>
      <c r="AI23" s="12">
        <f t="shared" si="29"/>
        <v>94663.915199999989</v>
      </c>
      <c r="AJ23" s="30">
        <f>AI23/$AI$19</f>
        <v>0.12957746478873239</v>
      </c>
      <c r="AK23" s="12">
        <f t="shared" ref="AK23" si="30">AK16*20%</f>
        <v>101138.87519999999</v>
      </c>
      <c r="AL23" s="30">
        <f>AK23/$AK$19</f>
        <v>0.12957746478873239</v>
      </c>
      <c r="AM23" s="31">
        <v>0.28976351334312356</v>
      </c>
      <c r="AN23" s="12">
        <f t="shared" ref="AN23" si="31">AN16*20%</f>
        <v>101138.87519999999</v>
      </c>
      <c r="AO23" s="30">
        <f>AN23/$AN$19</f>
        <v>0.12957746478873239</v>
      </c>
      <c r="AP23" s="12">
        <f t="shared" ref="AP23" si="32">AP16*20%</f>
        <v>101138.87519999999</v>
      </c>
      <c r="AQ23" s="30">
        <f>AP23/$AP$19</f>
        <v>0.12957746478873239</v>
      </c>
      <c r="AR23" s="12">
        <f t="shared" ref="AR23" si="33">AR16*20%</f>
        <v>101138.87519999999</v>
      </c>
      <c r="AS23" s="30">
        <f>AR23/$AR$19</f>
        <v>0.12957746478873239</v>
      </c>
      <c r="AT23" s="12">
        <f t="shared" ref="AT23" si="34">AT16*20%</f>
        <v>107613.8352</v>
      </c>
      <c r="AU23" s="30">
        <f>AT23/$AT$19</f>
        <v>0.12957746478873242</v>
      </c>
      <c r="AV23" s="12">
        <f t="shared" ref="AV23" si="35">AV16*20%</f>
        <v>107613.8352</v>
      </c>
      <c r="AW23" s="30">
        <f>AV23/$AV$19</f>
        <v>0.12957746478873242</v>
      </c>
      <c r="AX23" s="12">
        <f t="shared" ref="AX23" si="36">AX16*20%</f>
        <v>110851.31520000001</v>
      </c>
      <c r="AY23" s="30">
        <f>AX23/$AX$19</f>
        <v>0.12957746478873242</v>
      </c>
      <c r="AZ23" s="12">
        <f t="shared" ref="AZ23" si="37">AZ16*20%</f>
        <v>110851.31520000001</v>
      </c>
      <c r="BA23" s="30">
        <f>AZ23/$AZ$19</f>
        <v>0.12957746478873242</v>
      </c>
      <c r="BB23" s="84">
        <f t="shared" si="2"/>
        <v>1294993.8446930912</v>
      </c>
      <c r="BC23" s="30">
        <f>BB23/$BB$19</f>
        <v>0.12957748081699758</v>
      </c>
    </row>
    <row r="24" spans="1:55" s="16" customFormat="1" ht="11" x14ac:dyDescent="0.15">
      <c r="A24" s="32" t="s">
        <v>56</v>
      </c>
      <c r="B24" s="14"/>
      <c r="C24" s="33">
        <f t="shared" ref="C24:Y24" si="38">SUM(C22:C23)</f>
        <v>190924.9056</v>
      </c>
      <c r="D24" s="30">
        <f>C24/$C$19</f>
        <v>0.22730306802496633</v>
      </c>
      <c r="E24" s="33">
        <f t="shared" si="38"/>
        <v>195545.75039999999</v>
      </c>
      <c r="F24" s="30">
        <f>E24/$E$19</f>
        <v>0.22118650062073469</v>
      </c>
      <c r="G24" s="33">
        <f t="shared" si="38"/>
        <v>195545.75039999999</v>
      </c>
      <c r="H24" s="30">
        <f>G24/$G$19</f>
        <v>0.215103774325725</v>
      </c>
      <c r="I24" s="33">
        <f t="shared" si="38"/>
        <v>153538.0704</v>
      </c>
      <c r="J24" s="30">
        <f>I24/$I$19</f>
        <v>0.20881910408006132</v>
      </c>
      <c r="K24" s="33">
        <f t="shared" si="38"/>
        <v>164039.99040000001</v>
      </c>
      <c r="L24" s="30">
        <f>K24/$K$19</f>
        <v>0.21065328152762372</v>
      </c>
      <c r="M24" s="33">
        <f t="shared" si="38"/>
        <v>164039.99040000001</v>
      </c>
      <c r="N24" s="30">
        <f>M24/$M$19</f>
        <v>0.21065328152762372</v>
      </c>
      <c r="O24" s="33">
        <f t="shared" si="38"/>
        <v>164039.99040000001</v>
      </c>
      <c r="P24" s="30">
        <f>O24/$O$19</f>
        <v>0.21065328152762372</v>
      </c>
      <c r="Q24" s="33">
        <f t="shared" si="38"/>
        <v>164039.99040000001</v>
      </c>
      <c r="R24" s="30">
        <f>Q24/$Q$19</f>
        <v>0.21065328152762372</v>
      </c>
      <c r="S24" s="33">
        <f t="shared" si="38"/>
        <v>174541.91039999999</v>
      </c>
      <c r="T24" s="30">
        <f>S24/$S$19</f>
        <v>0.21229358553677641</v>
      </c>
      <c r="U24" s="33">
        <f t="shared" si="38"/>
        <v>174541.91039999999</v>
      </c>
      <c r="V24" s="30">
        <f>U24/$U$19</f>
        <v>0.21229358553677641</v>
      </c>
      <c r="W24" s="33">
        <f t="shared" si="38"/>
        <v>179792.87040000001</v>
      </c>
      <c r="X24" s="30">
        <f>W24/$W$19</f>
        <v>0.21305039356745942</v>
      </c>
      <c r="Y24" s="33">
        <f t="shared" si="38"/>
        <v>179792.87040000001</v>
      </c>
      <c r="Z24" s="30">
        <f>Y24/$Y$19</f>
        <v>0.21305039356745942</v>
      </c>
      <c r="AA24" s="37">
        <f>SUM(C24:Y24)</f>
        <v>2100386.352663138</v>
      </c>
      <c r="AB24" s="30">
        <f>AA24/$AA$19</f>
        <v>0.21398881880184539</v>
      </c>
      <c r="AC24" s="33">
        <f t="shared" ref="AC24:AI24" si="39">SUM(AC22:AC23)</f>
        <v>213677.90279999998</v>
      </c>
      <c r="AD24" s="30">
        <f>AC24/$AC$19</f>
        <v>0.23521126760563379</v>
      </c>
      <c r="AE24" s="33">
        <f t="shared" si="39"/>
        <v>218849.4252</v>
      </c>
      <c r="AF24" s="30">
        <f>AE24/$AE$19</f>
        <v>0.23521126760563379</v>
      </c>
      <c r="AG24" s="33">
        <f t="shared" si="39"/>
        <v>218849.4252</v>
      </c>
      <c r="AH24" s="30">
        <f>AG24/$AG$19</f>
        <v>0.23521126760563379</v>
      </c>
      <c r="AI24" s="33">
        <f t="shared" si="39"/>
        <v>171835.58519999997</v>
      </c>
      <c r="AJ24" s="30">
        <f>AI24/$AI$19</f>
        <v>0.23521126760563379</v>
      </c>
      <c r="AK24" s="33">
        <f t="shared" ref="AK24" si="40">SUM(AK22:AK23)</f>
        <v>183589.04519999999</v>
      </c>
      <c r="AL24" s="30">
        <f>AK24/$AK$19</f>
        <v>0.23521126760563379</v>
      </c>
      <c r="AM24" s="34">
        <v>0.28976351334312356</v>
      </c>
      <c r="AN24" s="33">
        <f t="shared" ref="AN24" si="41">SUM(AN22:AN23)</f>
        <v>183589.04519999999</v>
      </c>
      <c r="AO24" s="30">
        <f>AN24/$AN$19</f>
        <v>0.23521126760563379</v>
      </c>
      <c r="AP24" s="33">
        <f t="shared" ref="AP24" si="42">SUM(AP22:AP23)</f>
        <v>183589.04519999999</v>
      </c>
      <c r="AQ24" s="30">
        <f>AP24/$AP$19</f>
        <v>0.23521126760563379</v>
      </c>
      <c r="AR24" s="33">
        <f t="shared" ref="AR24" si="43">SUM(AR22:AR23)</f>
        <v>183589.04519999999</v>
      </c>
      <c r="AS24" s="30">
        <f>AR24/$AR$19</f>
        <v>0.23521126760563379</v>
      </c>
      <c r="AT24" s="33">
        <f t="shared" ref="AT24" si="44">SUM(AT22:AT23)</f>
        <v>195342.50519999999</v>
      </c>
      <c r="AU24" s="30">
        <f>AT24/$AT$19</f>
        <v>0.23521126760563382</v>
      </c>
      <c r="AV24" s="33">
        <f t="shared" ref="AV24" si="45">SUM(AV22:AV23)</f>
        <v>195342.50519999999</v>
      </c>
      <c r="AW24" s="30">
        <f>AV24/$AV$19</f>
        <v>0.23521126760563382</v>
      </c>
      <c r="AX24" s="33">
        <f t="shared" ref="AX24" si="46">SUM(AX22:AX23)</f>
        <v>201219.2352</v>
      </c>
      <c r="AY24" s="30">
        <f>AX24/$AX$19</f>
        <v>0.23521126760563379</v>
      </c>
      <c r="AZ24" s="33">
        <f t="shared" ref="AZ24" si="47">SUM(AZ22:AZ23)</f>
        <v>201219.2352</v>
      </c>
      <c r="BA24" s="30">
        <f>AZ24/$AZ$19</f>
        <v>0.23521126760563379</v>
      </c>
      <c r="BB24" s="86">
        <f t="shared" si="2"/>
        <v>2350695.1122987242</v>
      </c>
      <c r="BC24" s="30">
        <f>BB24/$BB$19</f>
        <v>0.23521127306414827</v>
      </c>
    </row>
    <row r="25" spans="1:55" s="13" customFormat="1" ht="3.75" customHeight="1" x14ac:dyDescent="0.15">
      <c r="A25" s="3"/>
      <c r="B25" s="3"/>
      <c r="C25" s="35"/>
      <c r="D25" s="30"/>
      <c r="E25" s="35"/>
      <c r="F25" s="30"/>
      <c r="G25" s="35"/>
      <c r="H25" s="30"/>
      <c r="I25" s="35"/>
      <c r="J25" s="30"/>
      <c r="K25" s="12"/>
      <c r="L25" s="30"/>
      <c r="M25" s="12"/>
      <c r="N25" s="30"/>
      <c r="O25" s="12"/>
      <c r="P25" s="30"/>
      <c r="Q25" s="12"/>
      <c r="R25" s="30"/>
      <c r="S25" s="12"/>
      <c r="T25" s="30"/>
      <c r="U25" s="12"/>
      <c r="V25" s="30"/>
      <c r="W25" s="12"/>
      <c r="X25" s="30"/>
      <c r="Y25" s="12"/>
      <c r="Z25" s="30"/>
      <c r="AA25" s="29"/>
      <c r="AB25" s="30"/>
      <c r="AC25" s="12"/>
      <c r="AD25" s="30"/>
      <c r="AE25" s="12"/>
      <c r="AF25" s="30"/>
      <c r="AH25" s="30"/>
      <c r="AJ25" s="30"/>
      <c r="AL25" s="30"/>
      <c r="AM25" s="31"/>
      <c r="AO25" s="30"/>
      <c r="AQ25" s="30"/>
      <c r="AS25" s="30"/>
      <c r="AU25" s="30"/>
      <c r="AW25" s="30"/>
      <c r="AY25" s="30"/>
      <c r="BA25" s="30"/>
      <c r="BB25" s="84"/>
      <c r="BC25" s="30"/>
    </row>
    <row r="26" spans="1:55" s="13" customFormat="1" ht="11" x14ac:dyDescent="0.15">
      <c r="A26" s="27" t="s">
        <v>88</v>
      </c>
      <c r="B26" s="3"/>
      <c r="C26" s="12"/>
      <c r="D26" s="30"/>
      <c r="E26" s="12"/>
      <c r="F26" s="30"/>
      <c r="G26" s="12"/>
      <c r="H26" s="30"/>
      <c r="I26" s="12"/>
      <c r="J26" s="30"/>
      <c r="K26" s="12"/>
      <c r="L26" s="30"/>
      <c r="M26" s="12"/>
      <c r="N26" s="30"/>
      <c r="O26" s="12"/>
      <c r="P26" s="30"/>
      <c r="Q26" s="12"/>
      <c r="R26" s="30"/>
      <c r="S26" s="12"/>
      <c r="T26" s="30"/>
      <c r="U26" s="12"/>
      <c r="V26" s="30"/>
      <c r="W26" s="12"/>
      <c r="X26" s="30"/>
      <c r="Y26" s="12"/>
      <c r="Z26" s="30"/>
      <c r="AA26" s="29"/>
      <c r="AB26" s="30"/>
      <c r="AC26" s="12"/>
      <c r="AD26" s="30"/>
      <c r="AE26" s="12"/>
      <c r="AF26" s="30"/>
      <c r="AH26" s="30"/>
      <c r="AJ26" s="30"/>
      <c r="AL26" s="30"/>
      <c r="AM26" s="31"/>
      <c r="AO26" s="30"/>
      <c r="AQ26" s="30"/>
      <c r="AS26" s="30"/>
      <c r="AU26" s="30"/>
      <c r="AW26" s="30"/>
      <c r="AY26" s="30"/>
      <c r="BA26" s="30"/>
      <c r="BB26" s="84"/>
      <c r="BC26" s="30"/>
    </row>
    <row r="27" spans="1:55" s="13" customFormat="1" ht="11" hidden="1" outlineLevel="1" x14ac:dyDescent="0.15">
      <c r="A27" s="74" t="s">
        <v>86</v>
      </c>
      <c r="B27" s="3"/>
      <c r="C27" s="12"/>
      <c r="D27" s="30"/>
      <c r="E27" s="12"/>
      <c r="F27" s="30"/>
      <c r="G27" s="12"/>
      <c r="H27" s="30"/>
      <c r="I27" s="12"/>
      <c r="J27" s="30"/>
      <c r="K27" s="12"/>
      <c r="L27" s="30"/>
      <c r="M27" s="12"/>
      <c r="N27" s="30"/>
      <c r="O27" s="12"/>
      <c r="P27" s="30"/>
      <c r="Q27" s="12"/>
      <c r="R27" s="30"/>
      <c r="S27" s="12"/>
      <c r="T27" s="30"/>
      <c r="U27" s="12"/>
      <c r="V27" s="30"/>
      <c r="W27" s="12"/>
      <c r="X27" s="30"/>
      <c r="Y27" s="12"/>
      <c r="Z27" s="30"/>
      <c r="AA27" s="29"/>
      <c r="AB27" s="30"/>
      <c r="AC27" s="12"/>
      <c r="AD27" s="30"/>
      <c r="AE27" s="12"/>
      <c r="AF27" s="30"/>
      <c r="AG27" s="12"/>
      <c r="AH27" s="30"/>
      <c r="AI27" s="12"/>
      <c r="AJ27" s="30"/>
      <c r="AK27" s="12"/>
      <c r="AL27" s="30"/>
      <c r="AM27" s="31"/>
      <c r="AN27" s="12"/>
      <c r="AO27" s="30"/>
      <c r="AP27" s="12"/>
      <c r="AQ27" s="30"/>
      <c r="AR27" s="12"/>
      <c r="AS27" s="30"/>
      <c r="AT27" s="12"/>
      <c r="AU27" s="30"/>
      <c r="AV27" s="12"/>
      <c r="AW27" s="30"/>
      <c r="AX27" s="12"/>
      <c r="AY27" s="30"/>
      <c r="AZ27" s="12"/>
      <c r="BA27" s="30"/>
      <c r="BB27" s="84"/>
      <c r="BC27" s="30"/>
    </row>
    <row r="28" spans="1:55" s="13" customFormat="1" ht="11" hidden="1" outlineLevel="1" x14ac:dyDescent="0.15">
      <c r="A28" s="3" t="s">
        <v>73</v>
      </c>
      <c r="B28" s="3"/>
      <c r="C28" s="12">
        <f>C19*43%</f>
        <v>361181.70388699998</v>
      </c>
      <c r="D28" s="30">
        <f>C28/$C$19</f>
        <v>0.43</v>
      </c>
      <c r="E28" s="12">
        <f>E19*43%</f>
        <v>380152.82323299994</v>
      </c>
      <c r="F28" s="30">
        <f>E28/$E$19</f>
        <v>0.43</v>
      </c>
      <c r="G28" s="12">
        <f>G19*43%</f>
        <v>390902.82323299994</v>
      </c>
      <c r="H28" s="30">
        <f>G28/$G$19</f>
        <v>0.43</v>
      </c>
      <c r="I28" s="12">
        <f>I19*41%</f>
        <v>301460.00837099995</v>
      </c>
      <c r="J28" s="30">
        <f>I28/$I$19</f>
        <v>0.41</v>
      </c>
      <c r="K28" s="12">
        <f>K19*41%</f>
        <v>319275.33042100002</v>
      </c>
      <c r="L28" s="30">
        <f>K28/$K$19</f>
        <v>0.41000000000000003</v>
      </c>
      <c r="M28" s="12">
        <f>M19*41%</f>
        <v>319275.33042100002</v>
      </c>
      <c r="N28" s="30">
        <f>M28/$M$19</f>
        <v>0.41000000000000003</v>
      </c>
      <c r="O28" s="12">
        <f>O19*41%</f>
        <v>319275.33042100002</v>
      </c>
      <c r="P28" s="30">
        <f>O28/$O$19</f>
        <v>0.41000000000000003</v>
      </c>
      <c r="Q28" s="12">
        <f>Q19*40%</f>
        <v>311488.12724</v>
      </c>
      <c r="R28" s="30">
        <f>Q28/$Q$19</f>
        <v>0.39999999999999997</v>
      </c>
      <c r="S28" s="12">
        <f>S19*40%</f>
        <v>328868.92923999997</v>
      </c>
      <c r="T28" s="30">
        <f>S28/$S$19</f>
        <v>0.4</v>
      </c>
      <c r="U28" s="12">
        <f>U19*40%</f>
        <v>328868.92923999997</v>
      </c>
      <c r="V28" s="30">
        <f>U28/$U$19</f>
        <v>0.4</v>
      </c>
      <c r="W28" s="12">
        <f>(W19*38%)</f>
        <v>320681.36372800003</v>
      </c>
      <c r="X28" s="30">
        <f>W28/$W$19</f>
        <v>0.38000000000000006</v>
      </c>
      <c r="Y28" s="12">
        <f>(Y19*38%)+100</f>
        <v>320781.36372800003</v>
      </c>
      <c r="Z28" s="30">
        <f>Y28/$Y$19</f>
        <v>0.38011849768741862</v>
      </c>
      <c r="AA28" s="29">
        <f>SUM(C28:Y28)</f>
        <v>4002216.573162999</v>
      </c>
      <c r="AB28" s="30">
        <f>AA28/$AA$19</f>
        <v>0.40774860110590078</v>
      </c>
      <c r="AC28" s="12">
        <f>(AC19*44.7%)+100</f>
        <v>406177.58090799995</v>
      </c>
      <c r="AD28" s="30">
        <f>AC28/$AC$19</f>
        <v>0.44711007748790277</v>
      </c>
      <c r="AE28" s="12">
        <f>(AE19*44.7%)+100</f>
        <v>416005.64117199997</v>
      </c>
      <c r="AF28" s="30">
        <f>AE28/$AE$19</f>
        <v>0.44710747630129283</v>
      </c>
      <c r="AG28" s="12">
        <f>(AG19*44.7%)</f>
        <v>415905.64117199997</v>
      </c>
      <c r="AH28" s="30">
        <f>AG28/$AG$19</f>
        <v>0.44700000000000001</v>
      </c>
      <c r="AI28" s="12">
        <f>(AI19*44.7%)</f>
        <v>326559.63877199998</v>
      </c>
      <c r="AJ28" s="30">
        <f>AI28/$AI$19</f>
        <v>0.44700000000000001</v>
      </c>
      <c r="AK28" s="12">
        <f>(AK19*44.7%)</f>
        <v>348896.13937200001</v>
      </c>
      <c r="AL28" s="30">
        <f>AK28/$AK$19</f>
        <v>0.44700000000000001</v>
      </c>
      <c r="AM28" s="31">
        <v>0.231158919207717</v>
      </c>
      <c r="AN28" s="12">
        <f>(AN19*44.7%)</f>
        <v>348896.13937200001</v>
      </c>
      <c r="AO28" s="30">
        <f>AN28/$AN$19</f>
        <v>0.44700000000000001</v>
      </c>
      <c r="AP28" s="12">
        <f>(AP19*44.7%)</f>
        <v>348896.13937200001</v>
      </c>
      <c r="AQ28" s="30">
        <f>AP28/$AP$19</f>
        <v>0.44700000000000001</v>
      </c>
      <c r="AR28" s="12">
        <f>(AR19*44.7%)</f>
        <v>348896.13937200001</v>
      </c>
      <c r="AS28" s="30">
        <f>AR28/$AR$19</f>
        <v>0.44700000000000001</v>
      </c>
      <c r="AT28" s="12">
        <f>(AT19*44.7%)</f>
        <v>371232.63997199998</v>
      </c>
      <c r="AU28" s="30">
        <f>AT28/$AT$19</f>
        <v>0.44700000000000001</v>
      </c>
      <c r="AV28" s="12">
        <f>(AV19*44.7%)</f>
        <v>371232.63997199998</v>
      </c>
      <c r="AW28" s="30">
        <f>AV28/$AV$19</f>
        <v>0.44700000000000001</v>
      </c>
      <c r="AX28" s="12">
        <f>(AX19*44.7%)</f>
        <v>382400.89027199999</v>
      </c>
      <c r="AY28" s="30">
        <f>AX28/$AX$19</f>
        <v>0.44699999999999995</v>
      </c>
      <c r="AZ28" s="12">
        <f>(AZ19*44.7%)</f>
        <v>382400.89027199999</v>
      </c>
      <c r="BA28" s="30">
        <f>AZ28/$AZ$19</f>
        <v>0.44699999999999995</v>
      </c>
      <c r="BB28" s="84">
        <f t="shared" si="2"/>
        <v>4467505.715376473</v>
      </c>
      <c r="BC28" s="30">
        <f>BB28/$BB$19</f>
        <v>0.44701999048591334</v>
      </c>
    </row>
    <row r="29" spans="1:55" s="13" customFormat="1" ht="11" hidden="1" outlineLevel="1" x14ac:dyDescent="0.15">
      <c r="A29" s="3" t="s">
        <v>17</v>
      </c>
      <c r="B29" s="3"/>
      <c r="C29" s="12">
        <f t="shared" ref="C29:Y29" si="48">+C28*0.12</f>
        <v>43341.804466439993</v>
      </c>
      <c r="D29" s="30">
        <f>C29/$C$19</f>
        <v>5.1599999999999993E-2</v>
      </c>
      <c r="E29" s="12">
        <f>+E28*0.12</f>
        <v>45618.33878795999</v>
      </c>
      <c r="F29" s="30">
        <f>E29/$E$19</f>
        <v>5.1599999999999993E-2</v>
      </c>
      <c r="G29" s="12">
        <f t="shared" si="48"/>
        <v>46908.33878795999</v>
      </c>
      <c r="H29" s="30">
        <f>G29/$G$19</f>
        <v>5.1599999999999993E-2</v>
      </c>
      <c r="I29" s="12">
        <f t="shared" si="48"/>
        <v>36175.201004519993</v>
      </c>
      <c r="J29" s="30">
        <f>I29/$I$19</f>
        <v>4.9199999999999994E-2</v>
      </c>
      <c r="K29" s="12">
        <f t="shared" si="48"/>
        <v>38313.039650520004</v>
      </c>
      <c r="L29" s="30">
        <f>K29/$K$19</f>
        <v>4.9200000000000001E-2</v>
      </c>
      <c r="M29" s="12">
        <f t="shared" si="48"/>
        <v>38313.039650520004</v>
      </c>
      <c r="N29" s="30">
        <f>M29/$M$19</f>
        <v>4.9200000000000001E-2</v>
      </c>
      <c r="O29" s="12">
        <f t="shared" si="48"/>
        <v>38313.039650520004</v>
      </c>
      <c r="P29" s="30">
        <f>O29/$O$19</f>
        <v>4.9200000000000001E-2</v>
      </c>
      <c r="Q29" s="12">
        <f t="shared" si="48"/>
        <v>37378.575268799999</v>
      </c>
      <c r="R29" s="30">
        <f>Q29/$Q$19</f>
        <v>4.7999999999999994E-2</v>
      </c>
      <c r="S29" s="12">
        <f t="shared" si="48"/>
        <v>39464.271508799997</v>
      </c>
      <c r="T29" s="30">
        <f>S29/$S$19</f>
        <v>4.8000000000000001E-2</v>
      </c>
      <c r="U29" s="12">
        <f t="shared" si="48"/>
        <v>39464.271508799997</v>
      </c>
      <c r="V29" s="30">
        <f>U29/$U$19</f>
        <v>4.8000000000000001E-2</v>
      </c>
      <c r="W29" s="12">
        <f t="shared" si="48"/>
        <v>38481.76364736</v>
      </c>
      <c r="X29" s="30">
        <f>W29/$W$19</f>
        <v>4.5600000000000002E-2</v>
      </c>
      <c r="Y29" s="12">
        <f t="shared" si="48"/>
        <v>38493.76364736</v>
      </c>
      <c r="Z29" s="30">
        <f>Y29/$Y$19</f>
        <v>4.5614219722490232E-2</v>
      </c>
      <c r="AA29" s="29">
        <f>SUM(C29:Y29)</f>
        <v>480265.98877956008</v>
      </c>
      <c r="AB29" s="30">
        <f>AA29/$AA$19</f>
        <v>4.8929832132708115E-2</v>
      </c>
      <c r="AC29" s="12">
        <f t="shared" ref="AC29:AI29" si="49">+AC28*0.12</f>
        <v>48741.309708959991</v>
      </c>
      <c r="AD29" s="30">
        <f>AC29/$AC$19</f>
        <v>5.3653209298548332E-2</v>
      </c>
      <c r="AE29" s="12">
        <f t="shared" si="49"/>
        <v>49920.676940639998</v>
      </c>
      <c r="AF29" s="30">
        <f>AE29/$AE$19</f>
        <v>5.3652897156155142E-2</v>
      </c>
      <c r="AG29" s="12">
        <f t="shared" si="49"/>
        <v>49908.676940639998</v>
      </c>
      <c r="AH29" s="30">
        <f>AG29/$AG$19</f>
        <v>5.364E-2</v>
      </c>
      <c r="AI29" s="12">
        <f t="shared" si="49"/>
        <v>39187.156652639998</v>
      </c>
      <c r="AJ29" s="30">
        <f>AI29/$AI$19</f>
        <v>5.3640000000000007E-2</v>
      </c>
      <c r="AK29" s="12">
        <f t="shared" ref="AK29" si="50">+AK28*0.12</f>
        <v>41867.536724639998</v>
      </c>
      <c r="AL29" s="30">
        <f>AK29/$AK$19</f>
        <v>5.364E-2</v>
      </c>
      <c r="AM29" s="31">
        <v>1.7683657319390353E-2</v>
      </c>
      <c r="AN29" s="12">
        <f t="shared" ref="AN29" si="51">+AN28*0.12</f>
        <v>41867.536724639998</v>
      </c>
      <c r="AO29" s="30">
        <f>AN29/$AN$19</f>
        <v>5.364E-2</v>
      </c>
      <c r="AP29" s="12">
        <f t="shared" ref="AP29" si="52">+AP28*0.12</f>
        <v>41867.536724639998</v>
      </c>
      <c r="AQ29" s="30">
        <f>AP29/$AP$19</f>
        <v>5.364E-2</v>
      </c>
      <c r="AR29" s="12">
        <f t="shared" ref="AR29" si="53">+AR28*0.12</f>
        <v>41867.536724639998</v>
      </c>
      <c r="AS29" s="30">
        <f>AR29/$AR$19</f>
        <v>5.364E-2</v>
      </c>
      <c r="AT29" s="12">
        <f t="shared" ref="AT29" si="54">+AT28*0.12</f>
        <v>44547.916796639998</v>
      </c>
      <c r="AU29" s="30">
        <f>AT29/$AT$19</f>
        <v>5.3640000000000007E-2</v>
      </c>
      <c r="AV29" s="12">
        <f t="shared" ref="AV29" si="55">+AV28*0.12</f>
        <v>44547.916796639998</v>
      </c>
      <c r="AW29" s="30">
        <f>AV29/$AV$19</f>
        <v>5.3640000000000007E-2</v>
      </c>
      <c r="AX29" s="12">
        <f t="shared" ref="AX29" si="56">+AX28*0.12</f>
        <v>45888.106832639998</v>
      </c>
      <c r="AY29" s="30">
        <f>AX29/$AX$19</f>
        <v>5.3639999999999993E-2</v>
      </c>
      <c r="AZ29" s="12">
        <f t="shared" ref="AZ29" si="57">+AZ28*0.12</f>
        <v>45888.106832639998</v>
      </c>
      <c r="BA29" s="30">
        <f>AZ29/$AZ$19</f>
        <v>5.3639999999999993E-2</v>
      </c>
      <c r="BB29" s="84">
        <f t="shared" si="2"/>
        <v>536100.6757897638</v>
      </c>
      <c r="BC29" s="30">
        <f>BB29/$BB$19</f>
        <v>5.3642397852161898E-2</v>
      </c>
    </row>
    <row r="30" spans="1:55" s="13" customFormat="1" ht="11" hidden="1" outlineLevel="1" x14ac:dyDescent="0.15">
      <c r="A30" s="3" t="s">
        <v>14</v>
      </c>
      <c r="B30" s="3"/>
      <c r="C30" s="12">
        <v>4000</v>
      </c>
      <c r="D30" s="30">
        <f>C30/$C$19</f>
        <v>4.7621459821733459E-3</v>
      </c>
      <c r="E30" s="12">
        <v>4000</v>
      </c>
      <c r="F30" s="30">
        <f>E30/$E$19</f>
        <v>4.5244961891175873E-3</v>
      </c>
      <c r="G30" s="12">
        <v>4000</v>
      </c>
      <c r="H30" s="30">
        <f>G30/$G$19</f>
        <v>4.4000705489271527E-3</v>
      </c>
      <c r="I30" s="12">
        <v>4000</v>
      </c>
      <c r="J30" s="30">
        <f>I30/$I$19</f>
        <v>5.4401909190611095E-3</v>
      </c>
      <c r="K30" s="12">
        <v>4000</v>
      </c>
      <c r="L30" s="30">
        <f>K30/$K$19</f>
        <v>5.1366323788232483E-3</v>
      </c>
      <c r="M30" s="12">
        <v>4000</v>
      </c>
      <c r="N30" s="30">
        <f>M30/$M$19</f>
        <v>5.1366323788232483E-3</v>
      </c>
      <c r="O30" s="12">
        <v>4000</v>
      </c>
      <c r="P30" s="30">
        <f>O30/$O$19</f>
        <v>5.1366323788232483E-3</v>
      </c>
      <c r="Q30" s="12">
        <v>4000</v>
      </c>
      <c r="R30" s="30">
        <f>Q30/$Q$19</f>
        <v>5.1366323788232483E-3</v>
      </c>
      <c r="S30" s="12">
        <v>4000</v>
      </c>
      <c r="T30" s="30">
        <f>S30/$S$19</f>
        <v>4.8651601222940754E-3</v>
      </c>
      <c r="U30" s="12">
        <v>4000</v>
      </c>
      <c r="V30" s="30">
        <f>U30/$U$19</f>
        <v>4.8651601222940754E-3</v>
      </c>
      <c r="W30" s="12">
        <v>4000</v>
      </c>
      <c r="X30" s="30">
        <f>W30/$W$19</f>
        <v>4.7399074967426381E-3</v>
      </c>
      <c r="Y30" s="12">
        <v>4000</v>
      </c>
      <c r="Z30" s="30">
        <f>Y30/$Y$19</f>
        <v>4.7399074967426381E-3</v>
      </c>
      <c r="AA30" s="29">
        <f>SUM(C30:Y30)</f>
        <v>48000.054143660898</v>
      </c>
      <c r="AB30" s="30">
        <f>AA30/$AA$19</f>
        <v>4.8902788173247908E-3</v>
      </c>
      <c r="AC30" s="12">
        <v>1950</v>
      </c>
      <c r="AD30" s="30">
        <f>AC30/$AC$19</f>
        <v>2.1465110141046647E-3</v>
      </c>
      <c r="AE30" s="12">
        <v>1950</v>
      </c>
      <c r="AF30" s="30">
        <f>AE30/$AE$19</f>
        <v>2.0957878752106765E-3</v>
      </c>
      <c r="AG30" s="12">
        <v>1950</v>
      </c>
      <c r="AH30" s="30">
        <f>AG30/$AG$19</f>
        <v>2.0957878752106765E-3</v>
      </c>
      <c r="AI30" s="12">
        <v>1950</v>
      </c>
      <c r="AJ30" s="30">
        <f>AI30/$AI$19</f>
        <v>2.6691908506445146E-3</v>
      </c>
      <c r="AK30" s="12">
        <v>1950</v>
      </c>
      <c r="AL30" s="30">
        <f>AK30/$AK$19</f>
        <v>2.4983079536762356E-3</v>
      </c>
      <c r="AM30" s="31">
        <v>4.5445791513417464E-3</v>
      </c>
      <c r="AN30" s="12">
        <v>1950</v>
      </c>
      <c r="AO30" s="30">
        <f>AN30/$AN$19</f>
        <v>2.4983079536762356E-3</v>
      </c>
      <c r="AP30" s="12">
        <v>1950</v>
      </c>
      <c r="AQ30" s="30">
        <f>AP30/$AP$19</f>
        <v>2.4983079536762356E-3</v>
      </c>
      <c r="AR30" s="12">
        <v>1950</v>
      </c>
      <c r="AS30" s="30">
        <f>AR30/$AR$19</f>
        <v>2.4983079536762356E-3</v>
      </c>
      <c r="AT30" s="12">
        <v>1950</v>
      </c>
      <c r="AU30" s="30">
        <f>AT30/$AT$19</f>
        <v>2.3479885822155718E-3</v>
      </c>
      <c r="AV30" s="12">
        <v>1950</v>
      </c>
      <c r="AW30" s="30">
        <f>AV30/$AV$19</f>
        <v>2.3479885822155718E-3</v>
      </c>
      <c r="AX30" s="12">
        <v>1950</v>
      </c>
      <c r="AY30" s="30">
        <f>AX30/$AX$19</f>
        <v>2.2794141493237617E-3</v>
      </c>
      <c r="AZ30" s="12">
        <v>1950</v>
      </c>
      <c r="BA30" s="30">
        <f>AZ30/$AZ$19</f>
        <v>2.2794141493237617E-3</v>
      </c>
      <c r="BB30" s="84">
        <f t="shared" si="2"/>
        <v>23400.032799894037</v>
      </c>
      <c r="BC30" s="30">
        <f>BB30/$BB$19</f>
        <v>2.3414144504787082E-3</v>
      </c>
    </row>
    <row r="31" spans="1:55" s="13" customFormat="1" ht="11" collapsed="1" x14ac:dyDescent="0.15">
      <c r="A31" s="3" t="s">
        <v>154</v>
      </c>
      <c r="B31" s="3"/>
      <c r="C31" s="12">
        <f>SUM(C28:C30)</f>
        <v>408523.50835343997</v>
      </c>
      <c r="D31" s="30">
        <f>C31/C$19</f>
        <v>0.48636214598217337</v>
      </c>
      <c r="E31" s="12">
        <f>SUM(E28:E30)</f>
        <v>429771.16202095995</v>
      </c>
      <c r="F31" s="30">
        <f>E31/E$19</f>
        <v>0.48612449618911757</v>
      </c>
      <c r="G31" s="12">
        <f>SUM(G28:G30)</f>
        <v>441811.16202095995</v>
      </c>
      <c r="H31" s="30">
        <f>G31/G$19</f>
        <v>0.48600007054892713</v>
      </c>
      <c r="I31" s="12">
        <f>SUM(I28:I30)</f>
        <v>341635.20937551995</v>
      </c>
      <c r="J31" s="30">
        <f>I31/I$19</f>
        <v>0.46464019091906111</v>
      </c>
      <c r="K31" s="12">
        <f>SUM(K28:K30)</f>
        <v>361588.37007152004</v>
      </c>
      <c r="L31" s="30">
        <f>K31/K$19</f>
        <v>0.46433663237882328</v>
      </c>
      <c r="M31" s="12">
        <f>SUM(M28:M30)</f>
        <v>361588.37007152004</v>
      </c>
      <c r="N31" s="30">
        <f>M31/M$19</f>
        <v>0.46433663237882328</v>
      </c>
      <c r="O31" s="12">
        <f>SUM(O28:O30)</f>
        <v>361588.37007152004</v>
      </c>
      <c r="P31" s="30">
        <f>O31/O$19</f>
        <v>0.46433663237882328</v>
      </c>
      <c r="Q31" s="12">
        <f>SUM(Q28:Q30)</f>
        <v>352866.70250880002</v>
      </c>
      <c r="R31" s="30">
        <f>Q31/Q$19</f>
        <v>0.45313663237882323</v>
      </c>
      <c r="S31" s="12">
        <f>SUM(S28:S30)</f>
        <v>372333.20074879995</v>
      </c>
      <c r="T31" s="30">
        <f>S31/S$19</f>
        <v>0.45286516012229405</v>
      </c>
      <c r="U31" s="12">
        <f>SUM(U28:U30)</f>
        <v>372333.20074879995</v>
      </c>
      <c r="V31" s="30">
        <f>U31/U$19</f>
        <v>0.45286516012229405</v>
      </c>
      <c r="W31" s="12">
        <f>SUM(W28:W30)</f>
        <v>363163.12737536</v>
      </c>
      <c r="X31" s="30">
        <f>W31/W$19</f>
        <v>0.43033990749674267</v>
      </c>
      <c r="Y31" s="12">
        <f>SUM(Y28:Y30)</f>
        <v>363275.12737536</v>
      </c>
      <c r="Z31" s="30">
        <f>Y31/Y$19</f>
        <v>0.43047262490665145</v>
      </c>
      <c r="AA31" s="12">
        <f>SUM(AA28:AA30)</f>
        <v>4530482.6160862194</v>
      </c>
      <c r="AB31" s="30">
        <f>AA31/AA$19</f>
        <v>0.46156871205593364</v>
      </c>
      <c r="AC31" s="12">
        <f>SUM(AC28:AC30)</f>
        <v>456868.89061695995</v>
      </c>
      <c r="AD31" s="30">
        <f>AC31/AC$19</f>
        <v>0.50290979780055578</v>
      </c>
      <c r="AE31" s="12">
        <f>SUM(AE28:AE30)</f>
        <v>467876.31811263994</v>
      </c>
      <c r="AF31" s="30">
        <f>AE31/AE$19</f>
        <v>0.50285616133265865</v>
      </c>
      <c r="AG31" s="12">
        <f>SUM(AG28:AG30)</f>
        <v>467764.31811263994</v>
      </c>
      <c r="AH31" s="30">
        <f>AG31/AG$19</f>
        <v>0.50273578787521067</v>
      </c>
      <c r="AI31" s="12">
        <f>SUM(AI28:AI30)</f>
        <v>367696.79542463995</v>
      </c>
      <c r="AJ31" s="30">
        <f>AI31/AI$19</f>
        <v>0.50330919085064452</v>
      </c>
      <c r="AK31" s="12">
        <f>SUM(AK28:AK30)</f>
        <v>392713.67609664</v>
      </c>
      <c r="AL31" s="30">
        <f>AK31/AK$19</f>
        <v>0.50313830795367631</v>
      </c>
      <c r="AM31" s="31"/>
      <c r="AN31" s="12">
        <f>SUM(AN28:AN30)</f>
        <v>392713.67609664</v>
      </c>
      <c r="AO31" s="30">
        <f>AN31/AN$19</f>
        <v>0.50313830795367631</v>
      </c>
      <c r="AP31" s="12">
        <f>SUM(AP28:AP30)</f>
        <v>392713.67609664</v>
      </c>
      <c r="AQ31" s="30">
        <f>AP31/AP$19</f>
        <v>0.50313830795367631</v>
      </c>
      <c r="AR31" s="12">
        <f>SUM(AR28:AR30)</f>
        <v>392713.67609664</v>
      </c>
      <c r="AS31" s="30">
        <f>AR31/AR$19</f>
        <v>0.50313830795367631</v>
      </c>
      <c r="AT31" s="12">
        <f>SUM(AT28:AT30)</f>
        <v>417730.55676863994</v>
      </c>
      <c r="AU31" s="30">
        <f>AT31/AT$19</f>
        <v>0.50298798858221561</v>
      </c>
      <c r="AV31" s="12">
        <f>SUM(AV28:AV30)</f>
        <v>417730.55676863994</v>
      </c>
      <c r="AW31" s="30">
        <f>AV31/AV$19</f>
        <v>0.50298798858221561</v>
      </c>
      <c r="AX31" s="12">
        <f>SUM(AX28:AX30)</f>
        <v>430238.99710464</v>
      </c>
      <c r="AY31" s="30">
        <f>AX31/AX$19</f>
        <v>0.50291941414932373</v>
      </c>
      <c r="AZ31" s="12">
        <f>SUM(AZ28:AZ30)</f>
        <v>430238.99710464</v>
      </c>
      <c r="BA31" s="30">
        <f>AZ31/AZ$19</f>
        <v>0.50291941414932373</v>
      </c>
      <c r="BB31" s="84">
        <f t="shared" si="2"/>
        <v>5027006.1705789752</v>
      </c>
      <c r="BC31" s="30">
        <f>BB31/BB$19</f>
        <v>0.50300377743455749</v>
      </c>
    </row>
    <row r="32" spans="1:55" s="13" customFormat="1" ht="11" hidden="1" outlineLevel="1" x14ac:dyDescent="0.15">
      <c r="A32" s="73" t="s">
        <v>84</v>
      </c>
      <c r="B32" s="3"/>
      <c r="C32" s="12"/>
      <c r="D32" s="30"/>
      <c r="E32" s="12"/>
      <c r="F32" s="30"/>
      <c r="G32" s="12"/>
      <c r="H32" s="30"/>
      <c r="I32" s="12"/>
      <c r="J32" s="30"/>
      <c r="K32" s="12"/>
      <c r="L32" s="30"/>
      <c r="M32" s="12"/>
      <c r="N32" s="30"/>
      <c r="O32" s="12"/>
      <c r="P32" s="30"/>
      <c r="Q32" s="12"/>
      <c r="R32" s="30"/>
      <c r="S32" s="12"/>
      <c r="T32" s="30"/>
      <c r="U32" s="12"/>
      <c r="V32" s="30"/>
      <c r="W32" s="12"/>
      <c r="X32" s="30"/>
      <c r="Y32" s="12"/>
      <c r="Z32" s="30"/>
      <c r="AA32" s="29"/>
      <c r="AB32" s="30"/>
      <c r="AC32" s="12"/>
      <c r="AD32" s="30"/>
      <c r="AE32" s="12"/>
      <c r="AF32" s="30"/>
      <c r="AH32" s="30"/>
      <c r="AJ32" s="30"/>
      <c r="AL32" s="30"/>
      <c r="AM32" s="31"/>
      <c r="AO32" s="30"/>
      <c r="AQ32" s="30"/>
      <c r="AS32" s="30"/>
      <c r="AU32" s="30"/>
      <c r="AW32" s="30"/>
      <c r="AY32" s="30"/>
      <c r="BA32" s="30"/>
      <c r="BB32" s="84"/>
      <c r="BC32" s="30"/>
    </row>
    <row r="33" spans="1:55" s="13" customFormat="1" ht="11" hidden="1" outlineLevel="1" x14ac:dyDescent="0.15">
      <c r="A33" s="3" t="s">
        <v>8</v>
      </c>
      <c r="B33" s="3"/>
      <c r="C33" s="12">
        <v>5000</v>
      </c>
      <c r="D33" s="30">
        <f t="shared" ref="D33:D68" si="58">C33/$C$19</f>
        <v>5.9526824777166821E-3</v>
      </c>
      <c r="E33" s="12">
        <v>5000</v>
      </c>
      <c r="F33" s="30">
        <f t="shared" ref="F33:F68" si="59">E33/$E$19</f>
        <v>5.6556202363969837E-3</v>
      </c>
      <c r="G33" s="12">
        <v>5000</v>
      </c>
      <c r="H33" s="30">
        <f t="shared" ref="H33:H68" si="60">G33/$G$19</f>
        <v>5.5000881861589409E-3</v>
      </c>
      <c r="I33" s="12">
        <v>5000</v>
      </c>
      <c r="J33" s="30">
        <f t="shared" ref="J33:J68" si="61">I33/$I$19</f>
        <v>6.8002386488263868E-3</v>
      </c>
      <c r="K33" s="12">
        <v>5000</v>
      </c>
      <c r="L33" s="30">
        <f t="shared" ref="L33:L68" si="62">K33/$K$19</f>
        <v>6.4207904735290606E-3</v>
      </c>
      <c r="M33" s="12">
        <v>5000</v>
      </c>
      <c r="N33" s="30">
        <f t="shared" ref="N33:N68" si="63">M33/$M$19</f>
        <v>6.4207904735290606E-3</v>
      </c>
      <c r="O33" s="12">
        <v>5000</v>
      </c>
      <c r="P33" s="30">
        <f t="shared" ref="P33:P68" si="64">O33/$O$19</f>
        <v>6.4207904735290606E-3</v>
      </c>
      <c r="Q33" s="12">
        <v>5000</v>
      </c>
      <c r="R33" s="30">
        <f t="shared" ref="R33:R68" si="65">Q33/$Q$19</f>
        <v>6.4207904735290606E-3</v>
      </c>
      <c r="S33" s="12">
        <v>5000</v>
      </c>
      <c r="T33" s="30">
        <f t="shared" ref="T33:T68" si="66">S33/$S$19</f>
        <v>6.0814501528675948E-3</v>
      </c>
      <c r="U33" s="12">
        <v>5000</v>
      </c>
      <c r="V33" s="30">
        <f t="shared" ref="V33:V68" si="67">U33/$U$19</f>
        <v>6.0814501528675948E-3</v>
      </c>
      <c r="W33" s="12">
        <v>5000</v>
      </c>
      <c r="X33" s="30">
        <f t="shared" ref="X33:X68" si="68">W33/$W$19</f>
        <v>5.9248843709282985E-3</v>
      </c>
      <c r="Y33" s="12">
        <v>5000</v>
      </c>
      <c r="Z33" s="30">
        <f t="shared" ref="Z33:Z68" si="69">Y33/$Y$19</f>
        <v>5.9248843709282985E-3</v>
      </c>
      <c r="AA33" s="29">
        <f t="shared" ref="AA33:AA41" si="70">SUM(C33:Y33)</f>
        <v>60000.067679576117</v>
      </c>
      <c r="AB33" s="30">
        <f t="shared" ref="AB33:AB41" si="71">AA33/$AA$19</f>
        <v>6.1128485216559872E-3</v>
      </c>
      <c r="AC33" s="12">
        <v>500</v>
      </c>
      <c r="AD33" s="30">
        <f t="shared" ref="AD33:AD68" si="72">AC33/$AC$19</f>
        <v>5.503874395140166E-4</v>
      </c>
      <c r="AE33" s="12">
        <v>500</v>
      </c>
      <c r="AF33" s="30">
        <f t="shared" ref="AF33:AF68" si="73">AE33/$AE$19</f>
        <v>5.3738150646427609E-4</v>
      </c>
      <c r="AG33" s="12">
        <v>500</v>
      </c>
      <c r="AH33" s="30">
        <f t="shared" ref="AH33:AH68" si="74">AG33/$AG$19</f>
        <v>5.3738150646427609E-4</v>
      </c>
      <c r="AI33" s="12">
        <v>500</v>
      </c>
      <c r="AJ33" s="30">
        <f t="shared" ref="AJ33:AJ68" si="75">AI33/$AI$19</f>
        <v>6.8440791042167039E-4</v>
      </c>
      <c r="AK33" s="12">
        <v>500</v>
      </c>
      <c r="AL33" s="30">
        <f>AK33/$AK$19</f>
        <v>6.4059178299390662E-4</v>
      </c>
      <c r="AM33" s="31">
        <v>5.6807239391771826E-3</v>
      </c>
      <c r="AN33" s="12">
        <v>500</v>
      </c>
      <c r="AO33" s="30">
        <f>AN33/$AN$19</f>
        <v>6.4059178299390662E-4</v>
      </c>
      <c r="AP33" s="12">
        <v>500</v>
      </c>
      <c r="AQ33" s="30">
        <f>AP33/$AP$19</f>
        <v>6.4059178299390662E-4</v>
      </c>
      <c r="AR33" s="12">
        <v>500</v>
      </c>
      <c r="AS33" s="30">
        <f>AR33/$AR$19</f>
        <v>6.4059178299390662E-4</v>
      </c>
      <c r="AT33" s="12">
        <v>500</v>
      </c>
      <c r="AU33" s="30">
        <f>AT33/$AT$19</f>
        <v>6.0204835441424924E-4</v>
      </c>
      <c r="AV33" s="12">
        <v>500</v>
      </c>
      <c r="AW33" s="30">
        <f>AV33/$AV$19</f>
        <v>6.0204835441424924E-4</v>
      </c>
      <c r="AX33" s="12">
        <v>500</v>
      </c>
      <c r="AY33" s="30">
        <f>AX33/$AX$19</f>
        <v>5.8446516649327224E-4</v>
      </c>
      <c r="AZ33" s="12">
        <v>500</v>
      </c>
      <c r="BA33" s="30">
        <f>AZ33/$AZ$19</f>
        <v>5.8446516649327224E-4</v>
      </c>
      <c r="BB33" s="84">
        <f t="shared" si="2"/>
        <v>6000.0129256764758</v>
      </c>
      <c r="BC33" s="30">
        <f>BB33/$BB$19</f>
        <v>6.0036313142695886E-4</v>
      </c>
    </row>
    <row r="34" spans="1:55" s="13" customFormat="1" ht="11" hidden="1" outlineLevel="1" x14ac:dyDescent="0.15">
      <c r="A34" s="3" t="s">
        <v>11</v>
      </c>
      <c r="B34" s="3"/>
      <c r="C34" s="12">
        <v>100</v>
      </c>
      <c r="D34" s="30">
        <f>C34/$C$19</f>
        <v>1.1905364955433365E-4</v>
      </c>
      <c r="E34" s="12">
        <v>100</v>
      </c>
      <c r="F34" s="30">
        <f>E34/$E$19</f>
        <v>1.1311240472793968E-4</v>
      </c>
      <c r="G34" s="12">
        <v>100</v>
      </c>
      <c r="H34" s="30">
        <f>G34/$G$19</f>
        <v>1.1000176372317882E-4</v>
      </c>
      <c r="I34" s="12">
        <v>100</v>
      </c>
      <c r="J34" s="30">
        <f>I34/$I$19</f>
        <v>1.3600477297652774E-4</v>
      </c>
      <c r="K34" s="12">
        <v>100</v>
      </c>
      <c r="L34" s="30">
        <f>K34/$K$19</f>
        <v>1.2841580947058122E-4</v>
      </c>
      <c r="M34" s="12">
        <v>100</v>
      </c>
      <c r="N34" s="30">
        <f>M34/$M$19</f>
        <v>1.2841580947058122E-4</v>
      </c>
      <c r="O34" s="12">
        <v>100</v>
      </c>
      <c r="P34" s="30">
        <f>O34/$O$19</f>
        <v>1.2841580947058122E-4</v>
      </c>
      <c r="Q34" s="12">
        <v>100</v>
      </c>
      <c r="R34" s="30">
        <f>Q34/$Q$19</f>
        <v>1.2841580947058122E-4</v>
      </c>
      <c r="S34" s="12">
        <v>100</v>
      </c>
      <c r="T34" s="30">
        <f>S34/$S$19</f>
        <v>1.2162900305735189E-4</v>
      </c>
      <c r="U34" s="12">
        <v>100</v>
      </c>
      <c r="V34" s="30">
        <f>U34/$U$19</f>
        <v>1.2162900305735189E-4</v>
      </c>
      <c r="W34" s="12">
        <v>100</v>
      </c>
      <c r="X34" s="30">
        <f>W34/$W$19</f>
        <v>1.1849768741856596E-4</v>
      </c>
      <c r="Y34" s="12">
        <v>100</v>
      </c>
      <c r="Z34" s="30">
        <f>Y34/$Y$19</f>
        <v>1.1849768741856596E-4</v>
      </c>
      <c r="AA34" s="29">
        <f t="shared" si="70"/>
        <v>1200.0013535915225</v>
      </c>
      <c r="AB34" s="30">
        <f t="shared" si="71"/>
        <v>1.2225697043311977E-4</v>
      </c>
      <c r="AC34" s="12">
        <v>50</v>
      </c>
      <c r="AD34" s="30">
        <f>AC34/$AC$19</f>
        <v>5.503874395140166E-5</v>
      </c>
      <c r="AE34" s="12">
        <v>50</v>
      </c>
      <c r="AF34" s="30">
        <f>AE34/$AE$19</f>
        <v>5.373815064642761E-5</v>
      </c>
      <c r="AG34" s="12">
        <v>50</v>
      </c>
      <c r="AH34" s="30">
        <f>AG34/$AG$19</f>
        <v>5.373815064642761E-5</v>
      </c>
      <c r="AI34" s="12">
        <v>50</v>
      </c>
      <c r="AJ34" s="30">
        <f>AI34/$AI$19</f>
        <v>6.8440791042167047E-5</v>
      </c>
      <c r="AK34" s="12">
        <v>50</v>
      </c>
      <c r="AL34" s="30">
        <f>AK34/$AK$19</f>
        <v>6.4059178299390664E-5</v>
      </c>
      <c r="AM34" s="31">
        <v>1.00113614478784</v>
      </c>
      <c r="AN34" s="12">
        <v>50</v>
      </c>
      <c r="AO34" s="30">
        <f>AN34/$AN$19</f>
        <v>6.4059178299390664E-5</v>
      </c>
      <c r="AP34" s="12">
        <v>50</v>
      </c>
      <c r="AQ34" s="30">
        <f>AP34/$AP$19</f>
        <v>6.4059178299390664E-5</v>
      </c>
      <c r="AR34" s="12">
        <v>50</v>
      </c>
      <c r="AS34" s="30">
        <f>AR34/$AR$19</f>
        <v>6.4059178299390664E-5</v>
      </c>
      <c r="AT34" s="12">
        <v>50</v>
      </c>
      <c r="AU34" s="30">
        <f>AT34/$AT$19</f>
        <v>6.0204835441424918E-5</v>
      </c>
      <c r="AV34" s="12">
        <v>50</v>
      </c>
      <c r="AW34" s="30">
        <f>AV34/$AV$19</f>
        <v>6.0204835441424918E-5</v>
      </c>
      <c r="AX34" s="12">
        <v>50</v>
      </c>
      <c r="AY34" s="30">
        <f>AX34/$AX$19</f>
        <v>5.8446516649327218E-5</v>
      </c>
      <c r="AZ34" s="12">
        <v>50</v>
      </c>
      <c r="BA34" s="30">
        <f>AZ34/$AZ$19</f>
        <v>5.8446516649327218E-5</v>
      </c>
      <c r="BB34" s="84">
        <f t="shared" si="2"/>
        <v>601.0018606400414</v>
      </c>
      <c r="BC34" s="30">
        <f>BB34/$BB$19</f>
        <v>6.0136430290540274E-5</v>
      </c>
    </row>
    <row r="35" spans="1:55" s="13" customFormat="1" ht="11" hidden="1" outlineLevel="1" x14ac:dyDescent="0.15">
      <c r="A35" s="3" t="s">
        <v>16</v>
      </c>
      <c r="B35" s="3"/>
      <c r="C35" s="12">
        <f>C19*3%</f>
        <v>25198.723526999998</v>
      </c>
      <c r="D35" s="30">
        <f>C35/$C$19</f>
        <v>0.03</v>
      </c>
      <c r="E35" s="12">
        <f>E19*3%</f>
        <v>26522.289992999999</v>
      </c>
      <c r="F35" s="30">
        <f>E35/$E$19</f>
        <v>3.0000000000000002E-2</v>
      </c>
      <c r="G35" s="12">
        <f>G19*3%</f>
        <v>27272.289992999999</v>
      </c>
      <c r="H35" s="30">
        <f>G35/$G$19</f>
        <v>3.0000000000000002E-2</v>
      </c>
      <c r="I35" s="12">
        <f>I19*3%</f>
        <v>22058.049392999998</v>
      </c>
      <c r="J35" s="30">
        <f>I35/$I$19</f>
        <v>0.03</v>
      </c>
      <c r="K35" s="12">
        <f>K19*3%</f>
        <v>23361.609542999999</v>
      </c>
      <c r="L35" s="30">
        <f>K35/$K$19</f>
        <v>2.9999999999999995E-2</v>
      </c>
      <c r="M35" s="12">
        <f>M19*3%</f>
        <v>23361.609542999999</v>
      </c>
      <c r="N35" s="30">
        <f>M35/$M$19</f>
        <v>2.9999999999999995E-2</v>
      </c>
      <c r="O35" s="12">
        <f>O19*3%</f>
        <v>23361.609542999999</v>
      </c>
      <c r="P35" s="30">
        <f>O35/$O$19</f>
        <v>2.9999999999999995E-2</v>
      </c>
      <c r="Q35" s="12">
        <f>Q19*3%</f>
        <v>23361.609542999999</v>
      </c>
      <c r="R35" s="30">
        <f>Q35/$Q$19</f>
        <v>2.9999999999999995E-2</v>
      </c>
      <c r="S35" s="12">
        <f>S19*3%</f>
        <v>24665.169692999996</v>
      </c>
      <c r="T35" s="30">
        <f>S35/$S$19</f>
        <v>0.03</v>
      </c>
      <c r="U35" s="12">
        <f>U19*3%</f>
        <v>24665.169692999996</v>
      </c>
      <c r="V35" s="30">
        <f>U35/$U$19</f>
        <v>0.03</v>
      </c>
      <c r="W35" s="12">
        <f>W19*3%</f>
        <v>25316.949767999999</v>
      </c>
      <c r="X35" s="30">
        <f>W35/$W$19</f>
        <v>0.03</v>
      </c>
      <c r="Y35" s="12">
        <f>Y19*3%</f>
        <v>25316.949767999999</v>
      </c>
      <c r="Z35" s="30">
        <f>Y35/$Y$19</f>
        <v>0.03</v>
      </c>
      <c r="AA35" s="29">
        <f t="shared" si="70"/>
        <v>294462.36</v>
      </c>
      <c r="AB35" s="30">
        <f t="shared" si="71"/>
        <v>3.0000029527000854E-2</v>
      </c>
      <c r="AC35" s="12">
        <f>AC19*1.25%</f>
        <v>11355.637049999999</v>
      </c>
      <c r="AD35" s="30">
        <f>AC35/$AC$19</f>
        <v>1.2500000000000001E-2</v>
      </c>
      <c r="AE35" s="12">
        <f>AE19*1.25%</f>
        <v>11630.470950000001</v>
      </c>
      <c r="AF35" s="30">
        <f>AE35/$AE$19</f>
        <v>1.2500000000000001E-2</v>
      </c>
      <c r="AG35" s="12">
        <f>AG19*1.25%</f>
        <v>11630.470950000001</v>
      </c>
      <c r="AH35" s="30">
        <f>AG35/$AG$19</f>
        <v>1.2500000000000001E-2</v>
      </c>
      <c r="AI35" s="12">
        <f>AI19*1.25%</f>
        <v>9131.9809499999992</v>
      </c>
      <c r="AJ35" s="30">
        <f>AI35/$AI$19</f>
        <v>1.2500000000000001E-2</v>
      </c>
      <c r="AK35" s="12">
        <f>AK19*1.25%</f>
        <v>9756.6034500000005</v>
      </c>
      <c r="AL35" s="30">
        <f>AK35/$AK$19</f>
        <v>1.2500000000000001E-2</v>
      </c>
      <c r="AM35" s="31">
        <v>1.685476605386188E-2</v>
      </c>
      <c r="AN35" s="12">
        <f>AN19*1.25%</f>
        <v>9756.6034500000005</v>
      </c>
      <c r="AO35" s="30">
        <f>AN35/$AN$19</f>
        <v>1.2500000000000001E-2</v>
      </c>
      <c r="AP35" s="12">
        <f>AP19*1.25%</f>
        <v>9756.6034500000005</v>
      </c>
      <c r="AQ35" s="30">
        <f>AP35/$AP$19</f>
        <v>1.2500000000000001E-2</v>
      </c>
      <c r="AR35" s="12">
        <f>AR19*1.25%</f>
        <v>9756.6034500000005</v>
      </c>
      <c r="AS35" s="30">
        <f>AR35/$AR$19</f>
        <v>1.2500000000000001E-2</v>
      </c>
      <c r="AT35" s="12">
        <f>AT19*1.25%</f>
        <v>10381.22595</v>
      </c>
      <c r="AU35" s="30">
        <f>AT35/$AT$19</f>
        <v>1.2500000000000002E-2</v>
      </c>
      <c r="AV35" s="12">
        <f>AV19*1.25%</f>
        <v>10381.22595</v>
      </c>
      <c r="AW35" s="30">
        <f>AV35/$AV$19</f>
        <v>1.2500000000000002E-2</v>
      </c>
      <c r="AX35" s="12">
        <f>AX19*1.25%</f>
        <v>10693.537200000001</v>
      </c>
      <c r="AY35" s="30">
        <f>AX35/$AX$19</f>
        <v>1.2500000000000001E-2</v>
      </c>
      <c r="AZ35" s="12">
        <f>AZ19*1.25%</f>
        <v>10693.537200000001</v>
      </c>
      <c r="BA35" s="30">
        <f>AZ35/$AZ$19</f>
        <v>1.2500000000000001E-2</v>
      </c>
      <c r="BB35" s="84">
        <f t="shared" si="2"/>
        <v>124924.66685476604</v>
      </c>
      <c r="BC35" s="30">
        <f>BB35/$BB$19</f>
        <v>1.2500000435739228E-2</v>
      </c>
    </row>
    <row r="36" spans="1:55" s="13" customFormat="1" ht="11" hidden="1" outlineLevel="1" x14ac:dyDescent="0.15">
      <c r="A36" s="3" t="s">
        <v>76</v>
      </c>
      <c r="B36" s="3"/>
      <c r="C36" s="12">
        <f>7500/12</f>
        <v>625</v>
      </c>
      <c r="D36" s="30">
        <f>C36/C$19</f>
        <v>7.4408530971458527E-4</v>
      </c>
      <c r="E36" s="12">
        <f>7500/12</f>
        <v>625</v>
      </c>
      <c r="F36" s="30">
        <f>E36/E$19</f>
        <v>7.0695252954962296E-4</v>
      </c>
      <c r="G36" s="12">
        <f>7500/12</f>
        <v>625</v>
      </c>
      <c r="H36" s="30">
        <f>G36/G$19</f>
        <v>6.8751102326986761E-4</v>
      </c>
      <c r="I36" s="12">
        <f>7500/12</f>
        <v>625</v>
      </c>
      <c r="J36" s="30">
        <f>I36/I$19</f>
        <v>8.5002983110329835E-4</v>
      </c>
      <c r="K36" s="12">
        <f>7500/12</f>
        <v>625</v>
      </c>
      <c r="L36" s="30">
        <f>K36/K$19</f>
        <v>8.0259880919113257E-4</v>
      </c>
      <c r="M36" s="12">
        <f>7500/12</f>
        <v>625</v>
      </c>
      <c r="N36" s="30">
        <f>M36/M$19</f>
        <v>8.0259880919113257E-4</v>
      </c>
      <c r="O36" s="12">
        <f>7500/12</f>
        <v>625</v>
      </c>
      <c r="P36" s="30">
        <f>O36/O$19</f>
        <v>8.0259880919113257E-4</v>
      </c>
      <c r="Q36" s="12">
        <f>7500/12</f>
        <v>625</v>
      </c>
      <c r="R36" s="30">
        <f>Q36/Q$19</f>
        <v>8.0259880919113257E-4</v>
      </c>
      <c r="S36" s="12">
        <f>7500/12</f>
        <v>625</v>
      </c>
      <c r="T36" s="30">
        <f>S36/S$19</f>
        <v>7.6018126910844936E-4</v>
      </c>
      <c r="U36" s="12">
        <f>7500/12</f>
        <v>625</v>
      </c>
      <c r="V36" s="30">
        <f>U36/U$19</f>
        <v>7.6018126910844936E-4</v>
      </c>
      <c r="W36" s="12">
        <f>7500/12</f>
        <v>625</v>
      </c>
      <c r="X36" s="30">
        <f>W36/W$19</f>
        <v>7.4061054636603732E-4</v>
      </c>
      <c r="Y36" s="12">
        <f>7500/12</f>
        <v>625</v>
      </c>
      <c r="Z36" s="30">
        <f>Y36/Y$19</f>
        <v>7.4061054636603732E-4</v>
      </c>
      <c r="AA36" s="29">
        <f t="shared" si="70"/>
        <v>7500.0084599470147</v>
      </c>
      <c r="AB36" s="30">
        <f t="shared" si="71"/>
        <v>7.641060652069984E-4</v>
      </c>
      <c r="AC36" s="12">
        <f>7500/12</f>
        <v>625</v>
      </c>
      <c r="AD36" s="30">
        <f>AC36/AC$19</f>
        <v>6.8798429939252075E-4</v>
      </c>
      <c r="AE36" s="12">
        <f>7500/12</f>
        <v>625</v>
      </c>
      <c r="AF36" s="30">
        <f>AE36/AE$19</f>
        <v>6.7172688308034505E-4</v>
      </c>
      <c r="AG36" s="12">
        <f>7500/12</f>
        <v>625</v>
      </c>
      <c r="AH36" s="30">
        <f>AG36/AG$19</f>
        <v>6.7172688308034505E-4</v>
      </c>
      <c r="AI36" s="12">
        <f>7500/12</f>
        <v>625</v>
      </c>
      <c r="AJ36" s="30">
        <f>AI36/AI$19</f>
        <v>8.5550988802708802E-4</v>
      </c>
      <c r="AK36" s="12">
        <f>7500/12</f>
        <v>625</v>
      </c>
      <c r="AL36" s="30">
        <f>AK36/AK$19</f>
        <v>8.0073972874238324E-4</v>
      </c>
      <c r="AM36" s="31"/>
      <c r="AN36" s="12">
        <f>7500/12</f>
        <v>625</v>
      </c>
      <c r="AO36" s="30">
        <f>AN36/AN$19</f>
        <v>8.0073972874238324E-4</v>
      </c>
      <c r="AP36" s="12">
        <f>7500/12</f>
        <v>625</v>
      </c>
      <c r="AQ36" s="30">
        <f>AP36/AP$19</f>
        <v>8.0073972874238324E-4</v>
      </c>
      <c r="AR36" s="12">
        <f>7500/12</f>
        <v>625</v>
      </c>
      <c r="AS36" s="30">
        <f>AR36/AR$19</f>
        <v>8.0073972874238324E-4</v>
      </c>
      <c r="AT36" s="12">
        <f>7500/12</f>
        <v>625</v>
      </c>
      <c r="AU36" s="30">
        <f>AT36/AT$19</f>
        <v>7.5256044301781155E-4</v>
      </c>
      <c r="AV36" s="12">
        <f>7500/12</f>
        <v>625</v>
      </c>
      <c r="AW36" s="30">
        <f>AV36/AV$19</f>
        <v>7.5256044301781155E-4</v>
      </c>
      <c r="AX36" s="12">
        <f>7500/12</f>
        <v>625</v>
      </c>
      <c r="AY36" s="30">
        <f>AX36/AX$19</f>
        <v>7.3058145811659024E-4</v>
      </c>
      <c r="AZ36" s="12">
        <f>7500/12</f>
        <v>625</v>
      </c>
      <c r="BA36" s="30">
        <f>AZ36/AZ$19</f>
        <v>7.3058145811659024E-4</v>
      </c>
      <c r="BB36" s="84">
        <f t="shared" si="2"/>
        <v>7500.0090561906718</v>
      </c>
      <c r="BC36" s="30">
        <f>BB36/BB$19</f>
        <v>7.5045320376497656E-4</v>
      </c>
    </row>
    <row r="37" spans="1:55" s="13" customFormat="1" ht="11" hidden="1" outlineLevel="1" x14ac:dyDescent="0.15">
      <c r="A37" s="3" t="s">
        <v>15</v>
      </c>
      <c r="B37" s="3"/>
      <c r="C37" s="12">
        <v>1200</v>
      </c>
      <c r="D37" s="30">
        <f>C37/$C$19</f>
        <v>1.4286437946520038E-3</v>
      </c>
      <c r="E37" s="12">
        <v>1200</v>
      </c>
      <c r="F37" s="30">
        <f>E37/$E$19</f>
        <v>1.357348856735276E-3</v>
      </c>
      <c r="G37" s="12">
        <v>1200</v>
      </c>
      <c r="H37" s="30">
        <f>G37/$G$19</f>
        <v>1.3200211646781459E-3</v>
      </c>
      <c r="I37" s="12">
        <v>1200</v>
      </c>
      <c r="J37" s="30">
        <f>I37/$I$19</f>
        <v>1.6320572757183328E-3</v>
      </c>
      <c r="K37" s="12">
        <v>1200</v>
      </c>
      <c r="L37" s="30">
        <f>K37/$K$19</f>
        <v>1.5409897136469746E-3</v>
      </c>
      <c r="M37" s="12">
        <v>1200</v>
      </c>
      <c r="N37" s="30">
        <f>M37/$M$19</f>
        <v>1.5409897136469746E-3</v>
      </c>
      <c r="O37" s="12">
        <v>1200</v>
      </c>
      <c r="P37" s="30">
        <f>O37/$O$19</f>
        <v>1.5409897136469746E-3</v>
      </c>
      <c r="Q37" s="12">
        <v>1200</v>
      </c>
      <c r="R37" s="30">
        <f>Q37/$Q$19</f>
        <v>1.5409897136469746E-3</v>
      </c>
      <c r="S37" s="12">
        <v>1200</v>
      </c>
      <c r="T37" s="30">
        <f>S37/$S$19</f>
        <v>1.4595480366882227E-3</v>
      </c>
      <c r="U37" s="12">
        <v>1200</v>
      </c>
      <c r="V37" s="30">
        <f>U37/$U$19</f>
        <v>1.4595480366882227E-3</v>
      </c>
      <c r="W37" s="12">
        <v>1200</v>
      </c>
      <c r="X37" s="30">
        <f>W37/$W$19</f>
        <v>1.4219722490227916E-3</v>
      </c>
      <c r="Y37" s="12">
        <v>1200</v>
      </c>
      <c r="Z37" s="30">
        <f>Y37/$Y$19</f>
        <v>1.4219722490227916E-3</v>
      </c>
      <c r="AA37" s="29">
        <f t="shared" si="70"/>
        <v>14400.016243098267</v>
      </c>
      <c r="AB37" s="30">
        <f t="shared" si="71"/>
        <v>1.467083645197437E-3</v>
      </c>
      <c r="AC37" s="12">
        <v>500</v>
      </c>
      <c r="AD37" s="30">
        <f>AC37/$AC$19</f>
        <v>5.503874395140166E-4</v>
      </c>
      <c r="AE37" s="12">
        <v>500</v>
      </c>
      <c r="AF37" s="30">
        <f>AE37/$AE$19</f>
        <v>5.3738150646427609E-4</v>
      </c>
      <c r="AG37" s="12">
        <v>500</v>
      </c>
      <c r="AH37" s="30">
        <f>AG37/$AG$19</f>
        <v>5.3738150646427609E-4</v>
      </c>
      <c r="AI37" s="12">
        <v>500</v>
      </c>
      <c r="AJ37" s="30">
        <f>AI37/$AI$19</f>
        <v>6.8440791042167039E-4</v>
      </c>
      <c r="AK37" s="12">
        <v>500</v>
      </c>
      <c r="AL37" s="30">
        <f>AK37/$AK$19</f>
        <v>6.4059178299390662E-4</v>
      </c>
      <c r="AM37" s="31">
        <v>4.5445791513417464E-3</v>
      </c>
      <c r="AN37" s="12">
        <v>500</v>
      </c>
      <c r="AO37" s="30">
        <f>AN37/$AN$19</f>
        <v>6.4059178299390662E-4</v>
      </c>
      <c r="AP37" s="12">
        <v>500</v>
      </c>
      <c r="AQ37" s="30">
        <f>AP37/$AP$19</f>
        <v>6.4059178299390662E-4</v>
      </c>
      <c r="AR37" s="12">
        <v>500</v>
      </c>
      <c r="AS37" s="30">
        <f>AR37/$AR$19</f>
        <v>6.4059178299390662E-4</v>
      </c>
      <c r="AT37" s="12">
        <v>500</v>
      </c>
      <c r="AU37" s="30">
        <f>AT37/$AT$19</f>
        <v>6.0204835441424924E-4</v>
      </c>
      <c r="AV37" s="12">
        <v>500</v>
      </c>
      <c r="AW37" s="30">
        <f>AV37/$AV$19</f>
        <v>6.0204835441424924E-4</v>
      </c>
      <c r="AX37" s="12">
        <v>500</v>
      </c>
      <c r="AY37" s="30">
        <f>AX37/$AX$19</f>
        <v>5.8446516649327224E-4</v>
      </c>
      <c r="AZ37" s="12">
        <v>500</v>
      </c>
      <c r="BA37" s="30">
        <f>AZ37/$AZ$19</f>
        <v>5.8446516649327224E-4</v>
      </c>
      <c r="BB37" s="84">
        <f t="shared" si="2"/>
        <v>6000.011789531688</v>
      </c>
      <c r="BC37" s="30">
        <f>BB37/$BB$19</f>
        <v>6.0036301774396333E-4</v>
      </c>
    </row>
    <row r="38" spans="1:55" s="13" customFormat="1" ht="11" hidden="1" outlineLevel="1" x14ac:dyDescent="0.15">
      <c r="A38" s="3" t="s">
        <v>81</v>
      </c>
      <c r="B38" s="3"/>
      <c r="C38" s="12">
        <v>500</v>
      </c>
      <c r="D38" s="30">
        <f>C38/$C$19</f>
        <v>5.9526824777166823E-4</v>
      </c>
      <c r="E38" s="12">
        <v>500</v>
      </c>
      <c r="F38" s="30">
        <f>E38/$E$19</f>
        <v>5.6556202363969841E-4</v>
      </c>
      <c r="G38" s="12">
        <v>500</v>
      </c>
      <c r="H38" s="30">
        <f>G38/$G$19</f>
        <v>5.5000881861589409E-4</v>
      </c>
      <c r="I38" s="12">
        <v>500</v>
      </c>
      <c r="J38" s="30">
        <f>I38/$I$19</f>
        <v>6.8002386488263868E-4</v>
      </c>
      <c r="K38" s="12">
        <v>500</v>
      </c>
      <c r="L38" s="30">
        <f>K38/$K$19</f>
        <v>6.4207904735290604E-4</v>
      </c>
      <c r="M38" s="12">
        <v>500</v>
      </c>
      <c r="N38" s="30">
        <f>M38/$M$19</f>
        <v>6.4207904735290604E-4</v>
      </c>
      <c r="O38" s="12">
        <v>500</v>
      </c>
      <c r="P38" s="30">
        <f>O38/$O$19</f>
        <v>6.4207904735290604E-4</v>
      </c>
      <c r="Q38" s="12">
        <v>500</v>
      </c>
      <c r="R38" s="30">
        <f>Q38/$Q$19</f>
        <v>6.4207904735290604E-4</v>
      </c>
      <c r="S38" s="12">
        <v>500</v>
      </c>
      <c r="T38" s="30">
        <f>S38/$S$19</f>
        <v>6.0814501528675942E-4</v>
      </c>
      <c r="U38" s="12">
        <v>500</v>
      </c>
      <c r="V38" s="30">
        <f>U38/$U$19</f>
        <v>6.0814501528675942E-4</v>
      </c>
      <c r="W38" s="12">
        <v>500</v>
      </c>
      <c r="X38" s="30">
        <f>W38/$W$19</f>
        <v>5.9248843709282977E-4</v>
      </c>
      <c r="Y38" s="12">
        <v>500</v>
      </c>
      <c r="Z38" s="30">
        <f>Y38/$Y$19</f>
        <v>5.9248843709282977E-4</v>
      </c>
      <c r="AA38" s="29">
        <f t="shared" si="70"/>
        <v>6000.0067679576123</v>
      </c>
      <c r="AB38" s="30">
        <f t="shared" si="71"/>
        <v>6.1128485216559885E-4</v>
      </c>
      <c r="AC38" s="12">
        <v>500</v>
      </c>
      <c r="AD38" s="30">
        <f>AC38/$AC$19</f>
        <v>5.503874395140166E-4</v>
      </c>
      <c r="AE38" s="12">
        <v>500</v>
      </c>
      <c r="AF38" s="30">
        <f>AE38/$AE$19</f>
        <v>5.3738150646427609E-4</v>
      </c>
      <c r="AG38" s="12">
        <v>500</v>
      </c>
      <c r="AH38" s="30">
        <f>AG38/$AG$19</f>
        <v>5.3738150646427609E-4</v>
      </c>
      <c r="AI38" s="12">
        <v>500</v>
      </c>
      <c r="AJ38" s="30">
        <f>AI38/$AI$19</f>
        <v>6.8440791042167039E-4</v>
      </c>
      <c r="AK38" s="12">
        <v>500</v>
      </c>
      <c r="AL38" s="30">
        <f>AK38/$AK$19</f>
        <v>6.4059178299390662E-4</v>
      </c>
      <c r="AM38" s="31">
        <v>0</v>
      </c>
      <c r="AN38" s="12">
        <v>500</v>
      </c>
      <c r="AO38" s="30">
        <f>AN38/$AN$19</f>
        <v>6.4059178299390662E-4</v>
      </c>
      <c r="AP38" s="12">
        <v>500</v>
      </c>
      <c r="AQ38" s="30">
        <f>AP38/$AP$19</f>
        <v>6.4059178299390662E-4</v>
      </c>
      <c r="AR38" s="12">
        <v>500</v>
      </c>
      <c r="AS38" s="30">
        <f>AR38/$AR$19</f>
        <v>6.4059178299390662E-4</v>
      </c>
      <c r="AT38" s="12">
        <v>500</v>
      </c>
      <c r="AU38" s="30">
        <f>AT38/$AT$19</f>
        <v>6.0204835441424924E-4</v>
      </c>
      <c r="AV38" s="12">
        <v>500</v>
      </c>
      <c r="AW38" s="30">
        <f>AV38/$AV$19</f>
        <v>6.0204835441424924E-4</v>
      </c>
      <c r="AX38" s="12">
        <v>500</v>
      </c>
      <c r="AY38" s="30">
        <f>AX38/$AX$19</f>
        <v>5.8446516649327224E-4</v>
      </c>
      <c r="AZ38" s="12">
        <v>500</v>
      </c>
      <c r="BA38" s="30">
        <f>AZ38/$AZ$19</f>
        <v>5.8446516649327224E-4</v>
      </c>
      <c r="BB38" s="84">
        <f t="shared" si="2"/>
        <v>6000.0072449525369</v>
      </c>
      <c r="BC38" s="30">
        <f>BB38/$BB$19</f>
        <v>6.0036256301198123E-4</v>
      </c>
    </row>
    <row r="39" spans="1:55" s="13" customFormat="1" ht="11" hidden="1" outlineLevel="1" x14ac:dyDescent="0.15">
      <c r="A39" s="3" t="s">
        <v>134</v>
      </c>
      <c r="B39" s="3"/>
      <c r="C39" s="12">
        <v>5000</v>
      </c>
      <c r="D39" s="30">
        <f>C39/$C$19</f>
        <v>5.9526824777166821E-3</v>
      </c>
      <c r="E39" s="12">
        <v>5000</v>
      </c>
      <c r="F39" s="30">
        <f>E39/$E$19</f>
        <v>5.6556202363969837E-3</v>
      </c>
      <c r="G39" s="12">
        <v>5000</v>
      </c>
      <c r="H39" s="30">
        <f>G39/$G$19</f>
        <v>5.5000881861589409E-3</v>
      </c>
      <c r="I39" s="12">
        <v>5000</v>
      </c>
      <c r="J39" s="30">
        <f>I39/$I$19</f>
        <v>6.8002386488263868E-3</v>
      </c>
      <c r="K39" s="12">
        <v>5000</v>
      </c>
      <c r="L39" s="30">
        <f>K39/$K$19</f>
        <v>6.4207904735290606E-3</v>
      </c>
      <c r="M39" s="12">
        <v>5000</v>
      </c>
      <c r="N39" s="30">
        <f>M39/$M$19</f>
        <v>6.4207904735290606E-3</v>
      </c>
      <c r="O39" s="12">
        <v>5000</v>
      </c>
      <c r="P39" s="30">
        <f>O39/$O$19</f>
        <v>6.4207904735290606E-3</v>
      </c>
      <c r="Q39" s="12">
        <v>5000</v>
      </c>
      <c r="R39" s="30">
        <f>Q39/$Q$19</f>
        <v>6.4207904735290606E-3</v>
      </c>
      <c r="S39" s="12">
        <v>5000</v>
      </c>
      <c r="T39" s="30">
        <f>S39/$S$19</f>
        <v>6.0814501528675948E-3</v>
      </c>
      <c r="U39" s="12">
        <v>5000</v>
      </c>
      <c r="V39" s="30">
        <f>U39/$U$19</f>
        <v>6.0814501528675948E-3</v>
      </c>
      <c r="W39" s="12">
        <v>5000</v>
      </c>
      <c r="X39" s="30">
        <f>W39/$W$19</f>
        <v>5.9248843709282985E-3</v>
      </c>
      <c r="Y39" s="12">
        <v>5000</v>
      </c>
      <c r="Z39" s="30">
        <f>Y39/$Y$19</f>
        <v>5.9248843709282985E-3</v>
      </c>
      <c r="AA39" s="29">
        <f t="shared" si="70"/>
        <v>60000.067679576117</v>
      </c>
      <c r="AB39" s="30">
        <f t="shared" si="71"/>
        <v>6.1128485216559872E-3</v>
      </c>
      <c r="AC39" s="12">
        <v>200</v>
      </c>
      <c r="AD39" s="30">
        <f>AC39/$AC$19</f>
        <v>2.2015497580560664E-4</v>
      </c>
      <c r="AE39" s="12">
        <v>200</v>
      </c>
      <c r="AF39" s="30">
        <f>AE39/$AE$19</f>
        <v>2.1495260258571044E-4</v>
      </c>
      <c r="AG39" s="12">
        <v>200</v>
      </c>
      <c r="AH39" s="30">
        <f>AG39/$AG$19</f>
        <v>2.1495260258571044E-4</v>
      </c>
      <c r="AI39" s="12">
        <v>200</v>
      </c>
      <c r="AJ39" s="30">
        <f>AI39/$AI$19</f>
        <v>2.7376316416866819E-4</v>
      </c>
      <c r="AK39" s="12">
        <v>200</v>
      </c>
      <c r="AL39" s="30">
        <f>AK39/$AK$19</f>
        <v>2.5623671319756266E-4</v>
      </c>
      <c r="AM39" s="31">
        <v>2</v>
      </c>
      <c r="AN39" s="12">
        <v>200</v>
      </c>
      <c r="AO39" s="30">
        <f>AN39/$AN$19</f>
        <v>2.5623671319756266E-4</v>
      </c>
      <c r="AP39" s="12">
        <v>200</v>
      </c>
      <c r="AQ39" s="30">
        <f>AP39/$AP$19</f>
        <v>2.5623671319756266E-4</v>
      </c>
      <c r="AR39" s="12">
        <v>200</v>
      </c>
      <c r="AS39" s="30">
        <f>AR39/$AR$19</f>
        <v>2.5623671319756266E-4</v>
      </c>
      <c r="AT39" s="12">
        <v>200</v>
      </c>
      <c r="AU39" s="30">
        <f>AT39/$AT$19</f>
        <v>2.4081934176569967E-4</v>
      </c>
      <c r="AV39" s="12">
        <v>200</v>
      </c>
      <c r="AW39" s="30">
        <f>AV39/$AV$19</f>
        <v>2.4081934176569967E-4</v>
      </c>
      <c r="AX39" s="12">
        <v>200</v>
      </c>
      <c r="AY39" s="30">
        <f>AX39/$AX$19</f>
        <v>2.3378606659730887E-4</v>
      </c>
      <c r="AZ39" s="12">
        <v>200</v>
      </c>
      <c r="BA39" s="30">
        <f>AZ39/$AZ$19</f>
        <v>2.3378606659730887E-4</v>
      </c>
      <c r="BB39" s="84">
        <f t="shared" si="2"/>
        <v>2402.002897981014</v>
      </c>
      <c r="BC39" s="30">
        <f>BB39/$BB$19</f>
        <v>2.4034514581748568E-4</v>
      </c>
    </row>
    <row r="40" spans="1:55" s="13" customFormat="1" ht="11" hidden="1" outlineLevel="1" x14ac:dyDescent="0.15">
      <c r="A40" s="3" t="s">
        <v>18</v>
      </c>
      <c r="B40" s="3"/>
      <c r="C40" s="12">
        <v>5000</v>
      </c>
      <c r="D40" s="30">
        <f>C40/$C$19</f>
        <v>5.9526824777166821E-3</v>
      </c>
      <c r="E40" s="12">
        <v>5000</v>
      </c>
      <c r="F40" s="30">
        <f>E40/$E$19</f>
        <v>5.6556202363969837E-3</v>
      </c>
      <c r="G40" s="12">
        <v>5000</v>
      </c>
      <c r="H40" s="30">
        <f>G40/$G$19</f>
        <v>5.5000881861589409E-3</v>
      </c>
      <c r="I40" s="12">
        <v>5000</v>
      </c>
      <c r="J40" s="30">
        <f>I40/$I$19</f>
        <v>6.8002386488263868E-3</v>
      </c>
      <c r="K40" s="12">
        <v>5000</v>
      </c>
      <c r="L40" s="30">
        <f>K40/$K$19</f>
        <v>6.4207904735290606E-3</v>
      </c>
      <c r="M40" s="12">
        <v>5000</v>
      </c>
      <c r="N40" s="30">
        <f>M40/$M$19</f>
        <v>6.4207904735290606E-3</v>
      </c>
      <c r="O40" s="12">
        <v>5000</v>
      </c>
      <c r="P40" s="30">
        <f>O40/$O$19</f>
        <v>6.4207904735290606E-3</v>
      </c>
      <c r="Q40" s="12">
        <v>5000</v>
      </c>
      <c r="R40" s="30">
        <f>Q40/$Q$19</f>
        <v>6.4207904735290606E-3</v>
      </c>
      <c r="S40" s="12">
        <v>5000</v>
      </c>
      <c r="T40" s="30">
        <f>S40/$S$19</f>
        <v>6.0814501528675948E-3</v>
      </c>
      <c r="U40" s="12">
        <v>5000</v>
      </c>
      <c r="V40" s="30">
        <f>U40/$U$19</f>
        <v>6.0814501528675948E-3</v>
      </c>
      <c r="W40" s="12">
        <v>5000</v>
      </c>
      <c r="X40" s="30">
        <f>W40/$W$19</f>
        <v>5.9248843709282985E-3</v>
      </c>
      <c r="Y40" s="12">
        <v>5000</v>
      </c>
      <c r="Z40" s="30">
        <f>Y40/$Y$19</f>
        <v>5.9248843709282985E-3</v>
      </c>
      <c r="AA40" s="29">
        <f t="shared" si="70"/>
        <v>60000.067679576117</v>
      </c>
      <c r="AB40" s="30">
        <f t="shared" si="71"/>
        <v>6.1128485216559872E-3</v>
      </c>
      <c r="AC40" s="12">
        <v>800</v>
      </c>
      <c r="AD40" s="30">
        <f>AC40/$AC$19</f>
        <v>8.8061990322242656E-4</v>
      </c>
      <c r="AE40" s="12">
        <v>800</v>
      </c>
      <c r="AF40" s="30">
        <f>AE40/$AE$19</f>
        <v>8.5981041034284176E-4</v>
      </c>
      <c r="AG40" s="12">
        <v>800</v>
      </c>
      <c r="AH40" s="30">
        <f>AG40/$AG$19</f>
        <v>8.5981041034284176E-4</v>
      </c>
      <c r="AI40" s="12">
        <v>800</v>
      </c>
      <c r="AJ40" s="30">
        <f>AI40/$AI$19</f>
        <v>1.0950526566746728E-3</v>
      </c>
      <c r="AK40" s="12">
        <v>800</v>
      </c>
      <c r="AL40" s="30">
        <f>AK40/$AK$19</f>
        <v>1.0249468527902506E-3</v>
      </c>
      <c r="AM40" s="31">
        <v>1.7799601676088505E-3</v>
      </c>
      <c r="AN40" s="12">
        <v>800</v>
      </c>
      <c r="AO40" s="30">
        <f>AN40/$AN$19</f>
        <v>1.0249468527902506E-3</v>
      </c>
      <c r="AP40" s="12">
        <v>800</v>
      </c>
      <c r="AQ40" s="30">
        <f>AP40/$AP$19</f>
        <v>1.0249468527902506E-3</v>
      </c>
      <c r="AR40" s="12">
        <v>800</v>
      </c>
      <c r="AS40" s="30">
        <f>AR40/$AR$19</f>
        <v>1.0249468527902506E-3</v>
      </c>
      <c r="AT40" s="12">
        <v>800</v>
      </c>
      <c r="AU40" s="30">
        <f>AT40/$AT$19</f>
        <v>9.6327736706279868E-4</v>
      </c>
      <c r="AV40" s="12">
        <v>800</v>
      </c>
      <c r="AW40" s="30">
        <f>AV40/$AV$19</f>
        <v>9.6327736706279868E-4</v>
      </c>
      <c r="AX40" s="12">
        <v>800</v>
      </c>
      <c r="AY40" s="30">
        <f>AX40/$AX$19</f>
        <v>9.3514426638923549E-4</v>
      </c>
      <c r="AZ40" s="12">
        <v>800</v>
      </c>
      <c r="BA40" s="30">
        <f>AZ40/$AZ$19</f>
        <v>9.3514426638923549E-4</v>
      </c>
      <c r="BB40" s="84">
        <f t="shared" si="2"/>
        <v>9600.0133718842244</v>
      </c>
      <c r="BC40" s="30">
        <f>BB40/$BB$19</f>
        <v>9.6058027892252944E-4</v>
      </c>
    </row>
    <row r="41" spans="1:55" s="13" customFormat="1" ht="11" hidden="1" outlineLevel="1" x14ac:dyDescent="0.15">
      <c r="A41" s="3" t="s">
        <v>129</v>
      </c>
      <c r="B41" s="3"/>
      <c r="C41" s="12">
        <v>8000</v>
      </c>
      <c r="D41" s="30">
        <f>C41/$C$19</f>
        <v>9.5242919643466917E-3</v>
      </c>
      <c r="E41" s="12">
        <v>8000</v>
      </c>
      <c r="F41" s="30">
        <f>E41/$E$19</f>
        <v>9.0489923782351746E-3</v>
      </c>
      <c r="G41" s="12">
        <v>8000</v>
      </c>
      <c r="H41" s="30">
        <f>G41/$G$19</f>
        <v>8.8001410978543054E-3</v>
      </c>
      <c r="I41" s="12">
        <v>8000</v>
      </c>
      <c r="J41" s="30">
        <f>I41/$I$19</f>
        <v>1.0880381838122219E-2</v>
      </c>
      <c r="K41" s="12">
        <v>8000</v>
      </c>
      <c r="L41" s="30">
        <f>K41/$K$19</f>
        <v>1.0273264757646497E-2</v>
      </c>
      <c r="M41" s="12">
        <v>8000</v>
      </c>
      <c r="N41" s="30">
        <f>M41/$M$19</f>
        <v>1.0273264757646497E-2</v>
      </c>
      <c r="O41" s="12">
        <v>8000</v>
      </c>
      <c r="P41" s="30">
        <f>O41/$O$19</f>
        <v>1.0273264757646497E-2</v>
      </c>
      <c r="Q41" s="12">
        <v>8000</v>
      </c>
      <c r="R41" s="30">
        <f>Q41/$Q$19</f>
        <v>1.0273264757646497E-2</v>
      </c>
      <c r="S41" s="12">
        <v>8000</v>
      </c>
      <c r="T41" s="30">
        <f>S41/$S$19</f>
        <v>9.7303202445881507E-3</v>
      </c>
      <c r="U41" s="12">
        <v>8000</v>
      </c>
      <c r="V41" s="30">
        <f>U41/$U$19</f>
        <v>9.7303202445881507E-3</v>
      </c>
      <c r="W41" s="12">
        <v>8000</v>
      </c>
      <c r="X41" s="30">
        <f>W41/$W$19</f>
        <v>9.4798149934852763E-3</v>
      </c>
      <c r="Y41" s="12">
        <v>8000</v>
      </c>
      <c r="Z41" s="30">
        <f>Y41/$Y$19</f>
        <v>9.4798149934852763E-3</v>
      </c>
      <c r="AA41" s="29">
        <f t="shared" si="70"/>
        <v>96000.108287321797</v>
      </c>
      <c r="AB41" s="30">
        <f t="shared" si="71"/>
        <v>9.7805576346495816E-3</v>
      </c>
      <c r="AC41" s="12">
        <v>400</v>
      </c>
      <c r="AD41" s="30">
        <f>AC41/$AC$19</f>
        <v>4.4030995161121328E-4</v>
      </c>
      <c r="AE41" s="12">
        <v>400</v>
      </c>
      <c r="AF41" s="30">
        <f>AE41/$AE$19</f>
        <v>4.2990520517142088E-4</v>
      </c>
      <c r="AG41" s="12">
        <v>400</v>
      </c>
      <c r="AH41" s="30">
        <f>AG41/$AG$19</f>
        <v>4.2990520517142088E-4</v>
      </c>
      <c r="AI41" s="12">
        <v>400</v>
      </c>
      <c r="AJ41" s="30">
        <f>AI41/$AI$19</f>
        <v>5.4752632833733638E-4</v>
      </c>
      <c r="AK41" s="12">
        <v>400</v>
      </c>
      <c r="AL41" s="30">
        <f>AK41/$AK$19</f>
        <v>5.1247342639512531E-4</v>
      </c>
      <c r="AM41" s="31">
        <v>4.9232940806202249E-5</v>
      </c>
      <c r="AN41" s="12">
        <v>400</v>
      </c>
      <c r="AO41" s="30">
        <f>AN41/$AN$19</f>
        <v>5.1247342639512531E-4</v>
      </c>
      <c r="AP41" s="12">
        <v>400</v>
      </c>
      <c r="AQ41" s="30">
        <f>AP41/$AP$19</f>
        <v>5.1247342639512531E-4</v>
      </c>
      <c r="AR41" s="12">
        <v>400</v>
      </c>
      <c r="AS41" s="30">
        <f>AR41/$AR$19</f>
        <v>5.1247342639512531E-4</v>
      </c>
      <c r="AT41" s="12">
        <v>400</v>
      </c>
      <c r="AU41" s="30">
        <f>AT41/$AT$19</f>
        <v>4.8163868353139934E-4</v>
      </c>
      <c r="AV41" s="12">
        <v>400</v>
      </c>
      <c r="AW41" s="30">
        <f>AV41/$AV$19</f>
        <v>4.8163868353139934E-4</v>
      </c>
      <c r="AX41" s="12">
        <v>400</v>
      </c>
      <c r="AY41" s="30">
        <f>AX41/$AX$19</f>
        <v>4.6757213319461774E-4</v>
      </c>
      <c r="AZ41" s="12">
        <v>400</v>
      </c>
      <c r="BA41" s="30">
        <f>AZ41/$AZ$19</f>
        <v>4.6757213319461774E-4</v>
      </c>
      <c r="BB41" s="84">
        <f t="shared" si="2"/>
        <v>4800.005845194969</v>
      </c>
      <c r="BC41" s="30">
        <f>BB41/$BB$19</f>
        <v>4.8029005533584802E-4</v>
      </c>
    </row>
    <row r="42" spans="1:55" s="13" customFormat="1" ht="11" collapsed="1" x14ac:dyDescent="0.15">
      <c r="A42" s="3" t="s">
        <v>155</v>
      </c>
      <c r="B42" s="3"/>
      <c r="C42" s="12">
        <f>SUM(C33:C41)</f>
        <v>50623.723526999995</v>
      </c>
      <c r="D42" s="30">
        <f>C42/C$19</f>
        <v>6.0269390399189327E-2</v>
      </c>
      <c r="E42" s="12">
        <f>SUM(E33:E41)</f>
        <v>51947.289992999999</v>
      </c>
      <c r="F42" s="30">
        <f>E42/E$19</f>
        <v>5.8758828902078661E-2</v>
      </c>
      <c r="G42" s="12">
        <f>SUM(G33:G41)</f>
        <v>52697.289992999999</v>
      </c>
      <c r="H42" s="30">
        <f>G42/G$19</f>
        <v>5.7967948426618218E-2</v>
      </c>
      <c r="I42" s="12">
        <f>SUM(I33:I41)</f>
        <v>47483.049392999994</v>
      </c>
      <c r="J42" s="30">
        <f>I42/I$19</f>
        <v>6.457921352928217E-2</v>
      </c>
      <c r="K42" s="12">
        <f>SUM(K33:K41)</f>
        <v>48786.609542999999</v>
      </c>
      <c r="L42" s="30">
        <f>K42/K$19</f>
        <v>6.2649719557895264E-2</v>
      </c>
      <c r="M42" s="12">
        <f>SUM(M33:M41)</f>
        <v>48786.609542999999</v>
      </c>
      <c r="N42" s="30">
        <f>M42/M$19</f>
        <v>6.2649719557895264E-2</v>
      </c>
      <c r="O42" s="12">
        <f>SUM(O33:O41)</f>
        <v>48786.609542999999</v>
      </c>
      <c r="P42" s="30">
        <f>O42/O$19</f>
        <v>6.2649719557895264E-2</v>
      </c>
      <c r="Q42" s="12">
        <f>SUM(Q33:Q41)</f>
        <v>48786.609542999999</v>
      </c>
      <c r="R42" s="30">
        <f>Q42/Q$19</f>
        <v>6.2649719557895264E-2</v>
      </c>
      <c r="S42" s="12">
        <f>SUM(S33:S41)</f>
        <v>50090.169692999996</v>
      </c>
      <c r="T42" s="30">
        <f>S42/S$19</f>
        <v>6.0924174027331718E-2</v>
      </c>
      <c r="U42" s="12">
        <f>SUM(U33:U41)</f>
        <v>50090.169692999996</v>
      </c>
      <c r="V42" s="30">
        <f>U42/U$19</f>
        <v>6.0924174027331718E-2</v>
      </c>
      <c r="W42" s="12">
        <f>SUM(W33:W41)</f>
        <v>50741.949767999999</v>
      </c>
      <c r="X42" s="30">
        <f>W42/W$19</f>
        <v>6.0128037026170394E-2</v>
      </c>
      <c r="Y42" s="12">
        <f>SUM(Y33:Y41)</f>
        <v>50741.949767999999</v>
      </c>
      <c r="Z42" s="30">
        <f>Y42/Y$19</f>
        <v>6.0128037026170394E-2</v>
      </c>
      <c r="AA42" s="12">
        <f>SUM(AA33:AA41)</f>
        <v>599562.70415064448</v>
      </c>
      <c r="AB42" s="30">
        <f>AA42/AA$19</f>
        <v>6.1083864259621541E-2</v>
      </c>
      <c r="AC42" s="12">
        <f>SUM(AC33:AC41)</f>
        <v>14930.637049999999</v>
      </c>
      <c r="AD42" s="30">
        <f>AC42/AC$19</f>
        <v>1.643527019252522E-2</v>
      </c>
      <c r="AE42" s="12">
        <f>SUM(AE33:AE41)</f>
        <v>15205.470950000001</v>
      </c>
      <c r="AF42" s="30">
        <f>AE42/AE$19</f>
        <v>1.6342277771219577E-2</v>
      </c>
      <c r="AG42" s="12">
        <f>SUM(AG33:AG41)</f>
        <v>15205.470950000001</v>
      </c>
      <c r="AH42" s="30">
        <f>AG42/AG$19</f>
        <v>1.6342277771219577E-2</v>
      </c>
      <c r="AI42" s="12">
        <f>SUM(AI33:AI41)</f>
        <v>12706.980949999999</v>
      </c>
      <c r="AJ42" s="30">
        <f>AI42/AI$19</f>
        <v>1.7393516559514943E-2</v>
      </c>
      <c r="AK42" s="12">
        <f>SUM(AK33:AK41)</f>
        <v>13331.603450000001</v>
      </c>
      <c r="AL42" s="30">
        <f>AK42/AK$19</f>
        <v>1.7080231248406432E-2</v>
      </c>
      <c r="AM42" s="31"/>
      <c r="AN42" s="12">
        <f>SUM(AN33:AN41)</f>
        <v>13331.603450000001</v>
      </c>
      <c r="AO42" s="30">
        <f>AN42/AN$19</f>
        <v>1.7080231248406432E-2</v>
      </c>
      <c r="AP42" s="12">
        <f>SUM(AP33:AP41)</f>
        <v>13331.603450000001</v>
      </c>
      <c r="AQ42" s="30">
        <f>AP42/AP$19</f>
        <v>1.7080231248406432E-2</v>
      </c>
      <c r="AR42" s="12">
        <f>SUM(AR33:AR41)</f>
        <v>13331.603450000001</v>
      </c>
      <c r="AS42" s="30">
        <f>AR42/AR$19</f>
        <v>1.7080231248406432E-2</v>
      </c>
      <c r="AT42" s="12">
        <f>SUM(AT33:AT41)</f>
        <v>13956.22595</v>
      </c>
      <c r="AU42" s="30">
        <f>AT42/AT$19</f>
        <v>1.6804645734061884E-2</v>
      </c>
      <c r="AV42" s="12">
        <f>SUM(AV33:AV41)</f>
        <v>13956.22595</v>
      </c>
      <c r="AW42" s="30">
        <f>AV42/AV$19</f>
        <v>1.6804645734061884E-2</v>
      </c>
      <c r="AX42" s="12">
        <f>SUM(AX33:AX41)</f>
        <v>14268.537200000001</v>
      </c>
      <c r="AY42" s="30">
        <f>AX42/AX$19</f>
        <v>1.6678925940426897E-2</v>
      </c>
      <c r="AZ42" s="12">
        <f>SUM(AZ33:AZ41)</f>
        <v>14268.537200000001</v>
      </c>
      <c r="BA42" s="30">
        <f>AZ42/AZ$19</f>
        <v>1.6678925940426897E-2</v>
      </c>
      <c r="BB42" s="84">
        <f t="shared" si="2"/>
        <v>167824.70180141064</v>
      </c>
      <c r="BC42" s="30">
        <f>BB42/BB$19</f>
        <v>1.6792591074781843E-2</v>
      </c>
    </row>
    <row r="43" spans="1:55" s="13" customFormat="1" ht="11" hidden="1" outlineLevel="2" x14ac:dyDescent="0.15">
      <c r="A43" s="74" t="s">
        <v>85</v>
      </c>
      <c r="B43" s="3"/>
      <c r="C43" s="12"/>
      <c r="D43" s="30"/>
      <c r="E43" s="12"/>
      <c r="F43" s="30"/>
      <c r="G43" s="12"/>
      <c r="H43" s="30"/>
      <c r="I43" s="12"/>
      <c r="J43" s="30"/>
      <c r="K43" s="12"/>
      <c r="L43" s="30"/>
      <c r="M43" s="12"/>
      <c r="N43" s="30"/>
      <c r="O43" s="12"/>
      <c r="P43" s="30"/>
      <c r="Q43" s="12"/>
      <c r="R43" s="30"/>
      <c r="S43" s="12"/>
      <c r="T43" s="30"/>
      <c r="U43" s="12"/>
      <c r="V43" s="30"/>
      <c r="W43" s="12"/>
      <c r="X43" s="30"/>
      <c r="Y43" s="12"/>
      <c r="Z43" s="30"/>
      <c r="AA43" s="29"/>
      <c r="AB43" s="30"/>
      <c r="AC43" s="12"/>
      <c r="AD43" s="30"/>
      <c r="AE43" s="12"/>
      <c r="AF43" s="30"/>
      <c r="AG43" s="12"/>
      <c r="AH43" s="30"/>
      <c r="AI43" s="12"/>
      <c r="AJ43" s="30"/>
      <c r="AK43" s="12"/>
      <c r="AL43" s="30"/>
      <c r="AM43" s="31"/>
      <c r="AN43" s="12"/>
      <c r="AO43" s="30"/>
      <c r="AP43" s="12"/>
      <c r="AQ43" s="30"/>
      <c r="AR43" s="12"/>
      <c r="AS43" s="30"/>
      <c r="AT43" s="12"/>
      <c r="AU43" s="30"/>
      <c r="AV43" s="12"/>
      <c r="AW43" s="30"/>
      <c r="AX43" s="12"/>
      <c r="AY43" s="30"/>
      <c r="AZ43" s="12"/>
      <c r="BA43" s="30"/>
      <c r="BB43" s="84"/>
      <c r="BC43" s="30"/>
    </row>
    <row r="44" spans="1:55" s="13" customFormat="1" ht="11" hidden="1" outlineLevel="2" x14ac:dyDescent="0.15">
      <c r="A44" s="3" t="s">
        <v>10</v>
      </c>
      <c r="B44" s="3"/>
      <c r="C44" s="12">
        <f>C19*2.2%</f>
        <v>18479.063919799999</v>
      </c>
      <c r="D44" s="30">
        <f t="shared" ref="D44:D52" si="76">C44/$C$19</f>
        <v>2.1999999999999999E-2</v>
      </c>
      <c r="E44" s="12">
        <f>E19*2.2%</f>
        <v>19449.6793282</v>
      </c>
      <c r="F44" s="30">
        <f t="shared" ref="F44:F52" si="77">E44/$E$19</f>
        <v>2.2000000000000002E-2</v>
      </c>
      <c r="G44" s="12">
        <f>G19*2.2%</f>
        <v>19999.6793282</v>
      </c>
      <c r="H44" s="30">
        <f t="shared" ref="H44:H52" si="78">G44/$G$19</f>
        <v>2.2000000000000002E-2</v>
      </c>
      <c r="I44" s="12">
        <f>I19*1.7%</f>
        <v>12499.561322699999</v>
      </c>
      <c r="J44" s="30">
        <f t="shared" ref="J44:J52" si="79">I44/$I$19</f>
        <v>1.7000000000000001E-2</v>
      </c>
      <c r="K44" s="12">
        <f>K19*1.7%</f>
        <v>13238.245407700002</v>
      </c>
      <c r="L44" s="30">
        <f t="shared" ref="L44:L52" si="80">K44/$K$19</f>
        <v>1.7000000000000001E-2</v>
      </c>
      <c r="M44" s="12">
        <f>M19*1.7%</f>
        <v>13238.245407700002</v>
      </c>
      <c r="N44" s="30">
        <f t="shared" ref="N44:N52" si="81">M44/$M$19</f>
        <v>1.7000000000000001E-2</v>
      </c>
      <c r="O44" s="12">
        <f>O19*1.7%</f>
        <v>13238.245407700002</v>
      </c>
      <c r="P44" s="30">
        <f t="shared" ref="P44:P52" si="82">O44/$O$19</f>
        <v>1.7000000000000001E-2</v>
      </c>
      <c r="Q44" s="12">
        <f>Q19*1.7%</f>
        <v>13238.245407700002</v>
      </c>
      <c r="R44" s="30">
        <f t="shared" ref="R44:R52" si="83">Q44/$Q$19</f>
        <v>1.7000000000000001E-2</v>
      </c>
      <c r="S44" s="12">
        <f>S19*1.7%</f>
        <v>13976.929492699999</v>
      </c>
      <c r="T44" s="30">
        <f t="shared" ref="T44:T52" si="84">S44/$S$19</f>
        <v>1.7000000000000001E-2</v>
      </c>
      <c r="U44" s="12">
        <f>U19*1.7%</f>
        <v>13976.929492699999</v>
      </c>
      <c r="V44" s="30">
        <f t="shared" ref="V44:V52" si="85">U44/$U$19</f>
        <v>1.7000000000000001E-2</v>
      </c>
      <c r="W44" s="12">
        <f>W19*1.7%</f>
        <v>14346.271535200001</v>
      </c>
      <c r="X44" s="30">
        <f t="shared" ref="X44:X52" si="86">W44/$W$19</f>
        <v>1.7000000000000001E-2</v>
      </c>
      <c r="Y44" s="12">
        <f>Y19*1.7%</f>
        <v>14346.271535200001</v>
      </c>
      <c r="Z44" s="30">
        <f t="shared" ref="Z44:Z52" si="87">Y44/$Y$19</f>
        <v>1.7000000000000001E-2</v>
      </c>
      <c r="AA44" s="29">
        <f t="shared" ref="AA44:AA53" si="88">SUM(C44:Y44)</f>
        <v>180027.56958550002</v>
      </c>
      <c r="AB44" s="30">
        <f t="shared" ref="AB44:AB53" si="89">AA44/$AA$19</f>
        <v>1.8341333687739249E-2</v>
      </c>
      <c r="AC44" s="12">
        <f>AC19*2.2%</f>
        <v>19985.921208</v>
      </c>
      <c r="AD44" s="30">
        <f t="shared" ref="AD44:AD52" si="90">AC44/$AC$19</f>
        <v>2.2000000000000002E-2</v>
      </c>
      <c r="AE44" s="12">
        <f>AE19*2.2%</f>
        <v>20469.628872000001</v>
      </c>
      <c r="AF44" s="30">
        <f t="shared" ref="AF44:AF52" si="91">AE44/$AE$19</f>
        <v>2.2000000000000002E-2</v>
      </c>
      <c r="AG44" s="12">
        <f>AG19*2.2%</f>
        <v>20469.628872000001</v>
      </c>
      <c r="AH44" s="30">
        <f t="shared" ref="AH44:AH52" si="92">AG44/$AG$19</f>
        <v>2.2000000000000002E-2</v>
      </c>
      <c r="AI44" s="12">
        <f>AI19*2.2%</f>
        <v>16072.286472</v>
      </c>
      <c r="AJ44" s="30">
        <f t="shared" ref="AJ44:AJ52" si="93">AI44/$AI$19</f>
        <v>2.2000000000000002E-2</v>
      </c>
      <c r="AK44" s="12">
        <f>AK19*2.2%</f>
        <v>17171.622072000002</v>
      </c>
      <c r="AL44" s="30">
        <f t="shared" ref="AL44:AL52" si="94">AK44/$AK$19</f>
        <v>2.2000000000000002E-2</v>
      </c>
      <c r="AM44" s="31">
        <v>1.00113614478784</v>
      </c>
      <c r="AN44" s="12">
        <f>AN19*2.2%</f>
        <v>17171.622072000002</v>
      </c>
      <c r="AO44" s="30">
        <f t="shared" ref="AO44:AO52" si="95">AN44/$AN$19</f>
        <v>2.2000000000000002E-2</v>
      </c>
      <c r="AP44" s="12">
        <f>AP19*2.2%</f>
        <v>17171.622072000002</v>
      </c>
      <c r="AQ44" s="30">
        <f t="shared" ref="AQ44:AQ52" si="96">AP44/$AP$19</f>
        <v>2.2000000000000002E-2</v>
      </c>
      <c r="AR44" s="12">
        <f>AR19*2.2%</f>
        <v>17171.622072000002</v>
      </c>
      <c r="AS44" s="30">
        <f t="shared" ref="AS44:AS52" si="97">AR44/$AR$19</f>
        <v>2.2000000000000002E-2</v>
      </c>
      <c r="AT44" s="12">
        <f>AT19*2.2%</f>
        <v>18270.957672</v>
      </c>
      <c r="AU44" s="30">
        <f t="shared" ref="AU44:AU52" si="98">AT44/$AT$19</f>
        <v>2.2000000000000002E-2</v>
      </c>
      <c r="AV44" s="12">
        <f>AV19*2.2%</f>
        <v>18270.957672</v>
      </c>
      <c r="AW44" s="30">
        <f t="shared" ref="AW44:AW52" si="99">AV44/$AV$19</f>
        <v>2.2000000000000002E-2</v>
      </c>
      <c r="AX44" s="12">
        <f>AX19*2.2%</f>
        <v>18820.625472000003</v>
      </c>
      <c r="AY44" s="30">
        <f t="shared" ref="AY44:AY52" si="100">AX44/$AX$19</f>
        <v>2.2000000000000002E-2</v>
      </c>
      <c r="AZ44" s="12">
        <f>AZ19*2.2%</f>
        <v>18820.625472000003</v>
      </c>
      <c r="BA44" s="30">
        <f t="shared" ref="BA44:BA52" si="101">AZ44/$AZ$19</f>
        <v>2.2000000000000002E-2</v>
      </c>
      <c r="BB44" s="84">
        <f t="shared" si="2"/>
        <v>219868.38513614476</v>
      </c>
      <c r="BC44" s="30">
        <f t="shared" ref="BC44:BC52" si="102">BB44/$BB$19</f>
        <v>2.2000097972662606E-2</v>
      </c>
    </row>
    <row r="45" spans="1:55" s="13" customFormat="1" ht="11" hidden="1" outlineLevel="2" x14ac:dyDescent="0.15">
      <c r="A45" s="3" t="s">
        <v>132</v>
      </c>
      <c r="B45" s="3"/>
      <c r="C45" s="12">
        <f>C18*10%</f>
        <v>5000</v>
      </c>
      <c r="D45" s="30">
        <f t="shared" si="76"/>
        <v>5.9526824777166821E-3</v>
      </c>
      <c r="E45" s="12">
        <f>E18*10%</f>
        <v>7500</v>
      </c>
      <c r="F45" s="30">
        <f t="shared" si="77"/>
        <v>8.4834303545954746E-3</v>
      </c>
      <c r="G45" s="12">
        <f>G18*10%</f>
        <v>10000</v>
      </c>
      <c r="H45" s="30">
        <f t="shared" si="78"/>
        <v>1.1000176372317882E-2</v>
      </c>
      <c r="I45" s="12">
        <f>I18*10%</f>
        <v>10000</v>
      </c>
      <c r="J45" s="30">
        <f t="shared" si="79"/>
        <v>1.3600477297652774E-2</v>
      </c>
      <c r="K45" s="12">
        <f>K18*10%</f>
        <v>10000</v>
      </c>
      <c r="L45" s="30">
        <f t="shared" si="80"/>
        <v>1.2841580947058121E-2</v>
      </c>
      <c r="M45" s="12">
        <f>M18*10%</f>
        <v>10000</v>
      </c>
      <c r="N45" s="30">
        <f t="shared" si="81"/>
        <v>1.2841580947058121E-2</v>
      </c>
      <c r="O45" s="12">
        <f>O18*10%</f>
        <v>10000</v>
      </c>
      <c r="P45" s="30">
        <f t="shared" si="82"/>
        <v>1.2841580947058121E-2</v>
      </c>
      <c r="Q45" s="12">
        <f>Q18*10%</f>
        <v>10000</v>
      </c>
      <c r="R45" s="30">
        <f t="shared" si="83"/>
        <v>1.2841580947058121E-2</v>
      </c>
      <c r="S45" s="12">
        <f>S18*10%</f>
        <v>10000</v>
      </c>
      <c r="T45" s="30">
        <f t="shared" si="84"/>
        <v>1.216290030573519E-2</v>
      </c>
      <c r="U45" s="12">
        <f>U18*10%</f>
        <v>10000</v>
      </c>
      <c r="V45" s="30">
        <f t="shared" si="85"/>
        <v>1.216290030573519E-2</v>
      </c>
      <c r="W45" s="12">
        <f>W18*10%</f>
        <v>10000</v>
      </c>
      <c r="X45" s="30">
        <f t="shared" si="86"/>
        <v>1.1849768741856597E-2</v>
      </c>
      <c r="Y45" s="12">
        <f>Y18*10%</f>
        <v>10000</v>
      </c>
      <c r="Z45" s="30">
        <f t="shared" si="87"/>
        <v>1.1849768741856597E-2</v>
      </c>
      <c r="AA45" s="29">
        <f t="shared" si="88"/>
        <v>112500.12657865963</v>
      </c>
      <c r="AB45" s="30">
        <f t="shared" si="89"/>
        <v>1.146159094544757E-2</v>
      </c>
      <c r="AC45" s="12">
        <v>7000</v>
      </c>
      <c r="AD45" s="30">
        <f t="shared" si="90"/>
        <v>7.7054241531962324E-3</v>
      </c>
      <c r="AE45" s="12">
        <v>7000</v>
      </c>
      <c r="AF45" s="30">
        <f t="shared" si="91"/>
        <v>7.5233410904998648E-3</v>
      </c>
      <c r="AG45" s="12">
        <v>7000</v>
      </c>
      <c r="AH45" s="30">
        <f t="shared" si="92"/>
        <v>7.5233410904998648E-3</v>
      </c>
      <c r="AI45" s="12">
        <v>7000</v>
      </c>
      <c r="AJ45" s="30">
        <f t="shared" si="93"/>
        <v>9.5817107459033862E-3</v>
      </c>
      <c r="AK45" s="12">
        <v>7000</v>
      </c>
      <c r="AL45" s="30">
        <f t="shared" si="94"/>
        <v>8.968284961914692E-3</v>
      </c>
      <c r="AM45" s="31"/>
      <c r="AN45" s="12">
        <v>7000</v>
      </c>
      <c r="AO45" s="30">
        <f t="shared" si="95"/>
        <v>8.968284961914692E-3</v>
      </c>
      <c r="AP45" s="12">
        <v>7000</v>
      </c>
      <c r="AQ45" s="30">
        <f t="shared" si="96"/>
        <v>8.968284961914692E-3</v>
      </c>
      <c r="AR45" s="12">
        <v>7000</v>
      </c>
      <c r="AS45" s="30">
        <f t="shared" si="97"/>
        <v>8.968284961914692E-3</v>
      </c>
      <c r="AT45" s="12">
        <v>7000</v>
      </c>
      <c r="AU45" s="30">
        <f t="shared" si="98"/>
        <v>8.4286769617994885E-3</v>
      </c>
      <c r="AV45" s="12">
        <v>7000</v>
      </c>
      <c r="AW45" s="30">
        <f t="shared" si="99"/>
        <v>8.4286769617994885E-3</v>
      </c>
      <c r="AX45" s="12">
        <v>7000</v>
      </c>
      <c r="AY45" s="30">
        <f t="shared" si="100"/>
        <v>8.1825123309058109E-3</v>
      </c>
      <c r="AZ45" s="12">
        <v>7000</v>
      </c>
      <c r="BA45" s="30">
        <f t="shared" si="101"/>
        <v>8.1825123309058109E-3</v>
      </c>
      <c r="BB45" s="84">
        <f t="shared" ref="BB45" si="103">SUM(AC45:BA45)</f>
        <v>84000.101429335526</v>
      </c>
      <c r="BC45" s="30">
        <f t="shared" si="102"/>
        <v>8.4050758821677379E-3</v>
      </c>
    </row>
    <row r="46" spans="1:55" s="13" customFormat="1" ht="11" hidden="1" outlineLevel="2" x14ac:dyDescent="0.15">
      <c r="A46" s="3" t="s">
        <v>9</v>
      </c>
      <c r="B46" s="3"/>
      <c r="C46" s="12">
        <v>1500</v>
      </c>
      <c r="D46" s="30">
        <f t="shared" si="76"/>
        <v>1.7858047433150046E-3</v>
      </c>
      <c r="E46" s="12">
        <v>1500</v>
      </c>
      <c r="F46" s="30">
        <f t="shared" si="77"/>
        <v>1.696686070919095E-3</v>
      </c>
      <c r="G46" s="12">
        <v>1500</v>
      </c>
      <c r="H46" s="30">
        <f t="shared" si="78"/>
        <v>1.6500264558476823E-3</v>
      </c>
      <c r="I46" s="12">
        <v>1500</v>
      </c>
      <c r="J46" s="30">
        <f t="shared" si="79"/>
        <v>2.040071594647916E-3</v>
      </c>
      <c r="K46" s="12">
        <v>1500</v>
      </c>
      <c r="L46" s="30">
        <f t="shared" si="80"/>
        <v>1.9262371420587182E-3</v>
      </c>
      <c r="M46" s="12">
        <v>1500</v>
      </c>
      <c r="N46" s="30">
        <f t="shared" si="81"/>
        <v>1.9262371420587182E-3</v>
      </c>
      <c r="O46" s="12">
        <v>1500</v>
      </c>
      <c r="P46" s="30">
        <f t="shared" si="82"/>
        <v>1.9262371420587182E-3</v>
      </c>
      <c r="Q46" s="12">
        <v>1500</v>
      </c>
      <c r="R46" s="30">
        <f t="shared" si="83"/>
        <v>1.9262371420587182E-3</v>
      </c>
      <c r="S46" s="12">
        <v>1500</v>
      </c>
      <c r="T46" s="30">
        <f t="shared" si="84"/>
        <v>1.8244350458602784E-3</v>
      </c>
      <c r="U46" s="12">
        <v>1500</v>
      </c>
      <c r="V46" s="30">
        <f t="shared" si="85"/>
        <v>1.8244350458602784E-3</v>
      </c>
      <c r="W46" s="12">
        <v>1500</v>
      </c>
      <c r="X46" s="30">
        <f t="shared" si="86"/>
        <v>1.7774653112784895E-3</v>
      </c>
      <c r="Y46" s="12">
        <v>1500</v>
      </c>
      <c r="Z46" s="30">
        <f t="shared" si="87"/>
        <v>1.7774653112784895E-3</v>
      </c>
      <c r="AA46" s="29">
        <f t="shared" si="88"/>
        <v>18000.020303872836</v>
      </c>
      <c r="AB46" s="30">
        <f t="shared" si="89"/>
        <v>1.8338545564967963E-3</v>
      </c>
      <c r="AC46" s="12">
        <v>800</v>
      </c>
      <c r="AD46" s="30">
        <f t="shared" si="90"/>
        <v>8.8061990322242656E-4</v>
      </c>
      <c r="AE46" s="12">
        <v>800</v>
      </c>
      <c r="AF46" s="30">
        <f t="shared" si="91"/>
        <v>8.5981041034284176E-4</v>
      </c>
      <c r="AG46" s="12">
        <v>800</v>
      </c>
      <c r="AH46" s="30">
        <f t="shared" si="92"/>
        <v>8.5981041034284176E-4</v>
      </c>
      <c r="AI46" s="12">
        <v>800</v>
      </c>
      <c r="AJ46" s="30">
        <f t="shared" si="93"/>
        <v>1.0950526566746728E-3</v>
      </c>
      <c r="AK46" s="12">
        <v>800</v>
      </c>
      <c r="AL46" s="30">
        <f t="shared" si="94"/>
        <v>1.0249468527902506E-3</v>
      </c>
      <c r="AM46" s="31">
        <v>1.1361447878354366E-3</v>
      </c>
      <c r="AN46" s="12">
        <v>800</v>
      </c>
      <c r="AO46" s="30">
        <f t="shared" si="95"/>
        <v>1.0249468527902506E-3</v>
      </c>
      <c r="AP46" s="12">
        <v>800</v>
      </c>
      <c r="AQ46" s="30">
        <f t="shared" si="96"/>
        <v>1.0249468527902506E-3</v>
      </c>
      <c r="AR46" s="12">
        <v>800</v>
      </c>
      <c r="AS46" s="30">
        <f t="shared" si="97"/>
        <v>1.0249468527902506E-3</v>
      </c>
      <c r="AT46" s="12">
        <v>800</v>
      </c>
      <c r="AU46" s="30">
        <f t="shared" si="98"/>
        <v>9.6327736706279868E-4</v>
      </c>
      <c r="AV46" s="12">
        <v>800</v>
      </c>
      <c r="AW46" s="30">
        <f t="shared" si="99"/>
        <v>9.6327736706279868E-4</v>
      </c>
      <c r="AX46" s="12">
        <v>800</v>
      </c>
      <c r="AY46" s="30">
        <f t="shared" si="100"/>
        <v>9.3514426638923549E-4</v>
      </c>
      <c r="AZ46" s="12">
        <v>800</v>
      </c>
      <c r="BA46" s="30">
        <f t="shared" si="101"/>
        <v>9.3514426638923549E-4</v>
      </c>
      <c r="BB46" s="84">
        <f t="shared" si="2"/>
        <v>9600.0127280688448</v>
      </c>
      <c r="BC46" s="30">
        <f t="shared" si="102"/>
        <v>9.6058021450216532E-4</v>
      </c>
    </row>
    <row r="47" spans="1:55" s="13" customFormat="1" ht="11" hidden="1" outlineLevel="2" x14ac:dyDescent="0.15">
      <c r="A47" s="3" t="s">
        <v>74</v>
      </c>
      <c r="B47" s="3"/>
      <c r="C47" s="12">
        <v>2000</v>
      </c>
      <c r="D47" s="30">
        <f t="shared" si="76"/>
        <v>2.3810729910866729E-3</v>
      </c>
      <c r="E47" s="12">
        <v>2000</v>
      </c>
      <c r="F47" s="30">
        <f t="shared" si="77"/>
        <v>2.2622480945587936E-3</v>
      </c>
      <c r="G47" s="12">
        <v>2000</v>
      </c>
      <c r="H47" s="30">
        <f t="shared" si="78"/>
        <v>2.2000352744635764E-3</v>
      </c>
      <c r="I47" s="12">
        <v>1500</v>
      </c>
      <c r="J47" s="30">
        <f t="shared" si="79"/>
        <v>2.040071594647916E-3</v>
      </c>
      <c r="K47" s="12">
        <v>1500</v>
      </c>
      <c r="L47" s="30">
        <f t="shared" si="80"/>
        <v>1.9262371420587182E-3</v>
      </c>
      <c r="M47" s="12">
        <v>1500</v>
      </c>
      <c r="N47" s="30">
        <f t="shared" si="81"/>
        <v>1.9262371420587182E-3</v>
      </c>
      <c r="O47" s="12">
        <v>1500</v>
      </c>
      <c r="P47" s="30">
        <f t="shared" si="82"/>
        <v>1.9262371420587182E-3</v>
      </c>
      <c r="Q47" s="12">
        <v>1500</v>
      </c>
      <c r="R47" s="30">
        <f t="shared" si="83"/>
        <v>1.9262371420587182E-3</v>
      </c>
      <c r="S47" s="12">
        <v>1500</v>
      </c>
      <c r="T47" s="30">
        <f t="shared" si="84"/>
        <v>1.8244350458602784E-3</v>
      </c>
      <c r="U47" s="12">
        <v>1000</v>
      </c>
      <c r="V47" s="30">
        <f t="shared" si="85"/>
        <v>1.2162900305735188E-3</v>
      </c>
      <c r="W47" s="12">
        <v>1000</v>
      </c>
      <c r="X47" s="30">
        <f t="shared" si="86"/>
        <v>1.1849768741856595E-3</v>
      </c>
      <c r="Y47" s="12">
        <v>1250</v>
      </c>
      <c r="Z47" s="30">
        <f t="shared" si="87"/>
        <v>1.4812210927320746E-3</v>
      </c>
      <c r="AA47" s="29">
        <f t="shared" si="88"/>
        <v>18250.020814078478</v>
      </c>
      <c r="AB47" s="30">
        <f t="shared" si="89"/>
        <v>1.8593247819202921E-3</v>
      </c>
      <c r="AC47" s="12">
        <v>1250</v>
      </c>
      <c r="AD47" s="30">
        <f t="shared" si="90"/>
        <v>1.3759685987850415E-3</v>
      </c>
      <c r="AE47" s="12">
        <v>1250</v>
      </c>
      <c r="AF47" s="30">
        <f t="shared" si="91"/>
        <v>1.3434537661606901E-3</v>
      </c>
      <c r="AG47" s="12">
        <v>1000</v>
      </c>
      <c r="AH47" s="30">
        <f t="shared" si="92"/>
        <v>1.0747630129285522E-3</v>
      </c>
      <c r="AI47" s="12">
        <f>+U$47</f>
        <v>1000</v>
      </c>
      <c r="AJ47" s="30">
        <f t="shared" si="93"/>
        <v>1.3688158208433408E-3</v>
      </c>
      <c r="AK47" s="12">
        <f>+W$47</f>
        <v>1000</v>
      </c>
      <c r="AL47" s="30">
        <f t="shared" si="94"/>
        <v>1.2811835659878132E-3</v>
      </c>
      <c r="AM47" s="31">
        <v>9.3031322377258325E-3</v>
      </c>
      <c r="AN47" s="12">
        <f>+Z$47</f>
        <v>1.4812210927320746E-3</v>
      </c>
      <c r="AO47" s="30">
        <f t="shared" si="95"/>
        <v>1.8977161216028449E-9</v>
      </c>
      <c r="AP47" s="12">
        <f>+AB$47</f>
        <v>1.8593247819202921E-3</v>
      </c>
      <c r="AQ47" s="30">
        <f t="shared" si="96"/>
        <v>2.382136354430153E-9</v>
      </c>
      <c r="AR47" s="12">
        <f>+AD$47</f>
        <v>1.3759685987850415E-3</v>
      </c>
      <c r="AS47" s="30">
        <f t="shared" si="97"/>
        <v>1.7628683560786741E-9</v>
      </c>
      <c r="AT47" s="12">
        <f>+AF$47</f>
        <v>1.3434537661606901E-3</v>
      </c>
      <c r="AU47" s="30">
        <f t="shared" si="98"/>
        <v>1.617648258297338E-9</v>
      </c>
      <c r="AV47" s="12">
        <f>+AH$47</f>
        <v>1.0747630129285522E-3</v>
      </c>
      <c r="AW47" s="30">
        <f t="shared" si="99"/>
        <v>1.2941186066378705E-9</v>
      </c>
      <c r="AX47" s="12">
        <f>+AJ$47</f>
        <v>1.3688158208433408E-3</v>
      </c>
      <c r="AY47" s="30">
        <f t="shared" si="100"/>
        <v>1.6000503332556564E-9</v>
      </c>
      <c r="AZ47" s="12">
        <f>+AL$47</f>
        <v>1.2811835659878132E-3</v>
      </c>
      <c r="BA47" s="30">
        <f t="shared" si="101"/>
        <v>1.4976143324070228E-9</v>
      </c>
      <c r="BB47" s="84">
        <f t="shared" si="2"/>
        <v>5500.0255320596953</v>
      </c>
      <c r="BC47" s="30">
        <f t="shared" si="102"/>
        <v>5.5033423965220811E-4</v>
      </c>
    </row>
    <row r="48" spans="1:55" s="13" customFormat="1" ht="11" hidden="1" outlineLevel="2" x14ac:dyDescent="0.15">
      <c r="A48" s="3" t="s">
        <v>20</v>
      </c>
      <c r="B48" s="3"/>
      <c r="C48" s="12">
        <v>400</v>
      </c>
      <c r="D48" s="30">
        <f t="shared" si="76"/>
        <v>4.7621459821733459E-4</v>
      </c>
      <c r="E48" s="12">
        <v>400</v>
      </c>
      <c r="F48" s="30">
        <f t="shared" si="77"/>
        <v>4.5244961891175871E-4</v>
      </c>
      <c r="G48" s="12">
        <v>400</v>
      </c>
      <c r="H48" s="30">
        <f t="shared" si="78"/>
        <v>4.4000705489271528E-4</v>
      </c>
      <c r="I48" s="12">
        <v>400</v>
      </c>
      <c r="J48" s="30">
        <f t="shared" si="79"/>
        <v>5.4401909190611095E-4</v>
      </c>
      <c r="K48" s="12">
        <v>400</v>
      </c>
      <c r="L48" s="30">
        <f t="shared" si="80"/>
        <v>5.1366323788232487E-4</v>
      </c>
      <c r="M48" s="12">
        <v>400</v>
      </c>
      <c r="N48" s="30">
        <f t="shared" si="81"/>
        <v>5.1366323788232487E-4</v>
      </c>
      <c r="O48" s="12">
        <v>400</v>
      </c>
      <c r="P48" s="30">
        <f t="shared" si="82"/>
        <v>5.1366323788232487E-4</v>
      </c>
      <c r="Q48" s="12">
        <v>400</v>
      </c>
      <c r="R48" s="30">
        <f t="shared" si="83"/>
        <v>5.1366323788232487E-4</v>
      </c>
      <c r="S48" s="12">
        <v>400</v>
      </c>
      <c r="T48" s="30">
        <f t="shared" si="84"/>
        <v>4.8651601222940758E-4</v>
      </c>
      <c r="U48" s="12">
        <v>400</v>
      </c>
      <c r="V48" s="30">
        <f t="shared" si="85"/>
        <v>4.8651601222940758E-4</v>
      </c>
      <c r="W48" s="12">
        <v>400</v>
      </c>
      <c r="X48" s="30">
        <f t="shared" si="86"/>
        <v>4.7399074967426384E-4</v>
      </c>
      <c r="Y48" s="12">
        <v>400</v>
      </c>
      <c r="Z48" s="30">
        <f t="shared" si="87"/>
        <v>4.7399074967426384E-4</v>
      </c>
      <c r="AA48" s="29">
        <f t="shared" si="88"/>
        <v>4800.00541436609</v>
      </c>
      <c r="AB48" s="30">
        <f t="shared" si="89"/>
        <v>4.8902788173247908E-4</v>
      </c>
      <c r="AC48" s="12">
        <v>400</v>
      </c>
      <c r="AD48" s="30">
        <f t="shared" si="90"/>
        <v>4.4030995161121328E-4</v>
      </c>
      <c r="AE48" s="12">
        <v>400</v>
      </c>
      <c r="AF48" s="30">
        <f t="shared" si="91"/>
        <v>4.2990520517142088E-4</v>
      </c>
      <c r="AG48" s="12">
        <v>400</v>
      </c>
      <c r="AH48" s="30">
        <f t="shared" si="92"/>
        <v>4.2990520517142088E-4</v>
      </c>
      <c r="AI48" s="12">
        <v>400</v>
      </c>
      <c r="AJ48" s="30">
        <f t="shared" si="93"/>
        <v>5.4752632833733638E-4</v>
      </c>
      <c r="AK48" s="12">
        <v>400</v>
      </c>
      <c r="AL48" s="30">
        <f t="shared" si="94"/>
        <v>5.1247342639512531E-4</v>
      </c>
      <c r="AM48" s="31">
        <v>1.8935746463923941E-3</v>
      </c>
      <c r="AN48" s="12">
        <v>400</v>
      </c>
      <c r="AO48" s="30">
        <f t="shared" si="95"/>
        <v>5.1247342639512531E-4</v>
      </c>
      <c r="AP48" s="12">
        <v>400</v>
      </c>
      <c r="AQ48" s="30">
        <f t="shared" si="96"/>
        <v>5.1247342639512531E-4</v>
      </c>
      <c r="AR48" s="12">
        <v>400</v>
      </c>
      <c r="AS48" s="30">
        <f t="shared" si="97"/>
        <v>5.1247342639512531E-4</v>
      </c>
      <c r="AT48" s="12">
        <v>400</v>
      </c>
      <c r="AU48" s="30">
        <f t="shared" si="98"/>
        <v>4.8163868353139934E-4</v>
      </c>
      <c r="AV48" s="12">
        <v>400</v>
      </c>
      <c r="AW48" s="30">
        <f t="shared" si="99"/>
        <v>4.8163868353139934E-4</v>
      </c>
      <c r="AX48" s="12">
        <v>400</v>
      </c>
      <c r="AY48" s="30">
        <f t="shared" si="100"/>
        <v>4.6757213319461774E-4</v>
      </c>
      <c r="AZ48" s="12">
        <v>400</v>
      </c>
      <c r="BA48" s="30">
        <f t="shared" si="101"/>
        <v>4.6757213319461774E-4</v>
      </c>
      <c r="BB48" s="84">
        <f t="shared" si="2"/>
        <v>4800.0076895366747</v>
      </c>
      <c r="BC48" s="30">
        <f t="shared" si="102"/>
        <v>4.8029023988124407E-4</v>
      </c>
    </row>
    <row r="49" spans="1:55" s="13" customFormat="1" ht="11" hidden="1" outlineLevel="2" x14ac:dyDescent="0.15">
      <c r="A49" s="3" t="s">
        <v>23</v>
      </c>
      <c r="B49" s="3"/>
      <c r="C49" s="12">
        <v>1250</v>
      </c>
      <c r="D49" s="30">
        <f t="shared" si="76"/>
        <v>1.4881706194291705E-3</v>
      </c>
      <c r="E49" s="12">
        <v>1250</v>
      </c>
      <c r="F49" s="30">
        <f t="shared" si="77"/>
        <v>1.4139050590992459E-3</v>
      </c>
      <c r="G49" s="12">
        <v>1250</v>
      </c>
      <c r="H49" s="30">
        <f t="shared" si="78"/>
        <v>1.3750220465397352E-3</v>
      </c>
      <c r="I49" s="12">
        <v>1000</v>
      </c>
      <c r="J49" s="30">
        <f t="shared" si="79"/>
        <v>1.3600477297652774E-3</v>
      </c>
      <c r="K49" s="12">
        <v>1000</v>
      </c>
      <c r="L49" s="30">
        <f t="shared" si="80"/>
        <v>1.2841580947058121E-3</v>
      </c>
      <c r="M49" s="12">
        <v>1000</v>
      </c>
      <c r="N49" s="30">
        <f t="shared" si="81"/>
        <v>1.2841580947058121E-3</v>
      </c>
      <c r="O49" s="12">
        <v>1000</v>
      </c>
      <c r="P49" s="30">
        <f t="shared" si="82"/>
        <v>1.2841580947058121E-3</v>
      </c>
      <c r="Q49" s="12">
        <v>1000</v>
      </c>
      <c r="R49" s="30">
        <f t="shared" si="83"/>
        <v>1.2841580947058121E-3</v>
      </c>
      <c r="S49" s="12">
        <v>1000</v>
      </c>
      <c r="T49" s="30">
        <f t="shared" si="84"/>
        <v>1.2162900305735188E-3</v>
      </c>
      <c r="U49" s="12">
        <v>1000</v>
      </c>
      <c r="V49" s="30">
        <f t="shared" si="85"/>
        <v>1.2162900305735188E-3</v>
      </c>
      <c r="W49" s="12">
        <v>1000</v>
      </c>
      <c r="X49" s="30">
        <f t="shared" si="86"/>
        <v>1.1849768741856595E-3</v>
      </c>
      <c r="Y49" s="12">
        <v>1000</v>
      </c>
      <c r="Z49" s="30">
        <f t="shared" si="87"/>
        <v>1.1849768741856595E-3</v>
      </c>
      <c r="AA49" s="29">
        <f t="shared" si="88"/>
        <v>12750.014391334771</v>
      </c>
      <c r="AB49" s="30">
        <f t="shared" si="89"/>
        <v>1.2989803118121073E-3</v>
      </c>
      <c r="AC49" s="12">
        <v>1000</v>
      </c>
      <c r="AD49" s="30">
        <f t="shared" si="90"/>
        <v>1.1007748790280332E-3</v>
      </c>
      <c r="AE49" s="12">
        <v>1000</v>
      </c>
      <c r="AF49" s="30">
        <f t="shared" si="91"/>
        <v>1.0747630129285522E-3</v>
      </c>
      <c r="AG49" s="12">
        <v>1000</v>
      </c>
      <c r="AH49" s="30">
        <f t="shared" si="92"/>
        <v>1.0747630129285522E-3</v>
      </c>
      <c r="AI49" s="12">
        <v>1000</v>
      </c>
      <c r="AJ49" s="30">
        <f t="shared" si="93"/>
        <v>1.3688158208433408E-3</v>
      </c>
      <c r="AK49" s="12">
        <v>1000</v>
      </c>
      <c r="AL49" s="30">
        <f t="shared" si="94"/>
        <v>1.2811835659878132E-3</v>
      </c>
      <c r="AM49" s="31">
        <v>1.0113614478783499</v>
      </c>
      <c r="AN49" s="12">
        <v>1000</v>
      </c>
      <c r="AO49" s="30">
        <f t="shared" si="95"/>
        <v>1.2811835659878132E-3</v>
      </c>
      <c r="AP49" s="12">
        <v>1000</v>
      </c>
      <c r="AQ49" s="30">
        <f t="shared" si="96"/>
        <v>1.2811835659878132E-3</v>
      </c>
      <c r="AR49" s="12">
        <v>1000</v>
      </c>
      <c r="AS49" s="30">
        <f t="shared" si="97"/>
        <v>1.2811835659878132E-3</v>
      </c>
      <c r="AT49" s="12">
        <v>1000</v>
      </c>
      <c r="AU49" s="30">
        <f t="shared" si="98"/>
        <v>1.2040967088284985E-3</v>
      </c>
      <c r="AV49" s="12">
        <v>1000</v>
      </c>
      <c r="AW49" s="30">
        <f t="shared" si="99"/>
        <v>1.2040967088284985E-3</v>
      </c>
      <c r="AX49" s="12">
        <v>1000</v>
      </c>
      <c r="AY49" s="30">
        <f t="shared" si="100"/>
        <v>1.1689303329865445E-3</v>
      </c>
      <c r="AZ49" s="12">
        <v>1000</v>
      </c>
      <c r="BA49" s="30">
        <f t="shared" si="101"/>
        <v>1.1689303329865445E-3</v>
      </c>
      <c r="BB49" s="84">
        <f t="shared" si="2"/>
        <v>12001.025851352952</v>
      </c>
      <c r="BC49" s="30">
        <f t="shared" si="102"/>
        <v>1.2008263231602643E-3</v>
      </c>
    </row>
    <row r="50" spans="1:55" s="13" customFormat="1" ht="11" hidden="1" outlineLevel="2" x14ac:dyDescent="0.15">
      <c r="A50" s="3" t="s">
        <v>75</v>
      </c>
      <c r="B50" s="3"/>
      <c r="C50" s="12">
        <v>2000</v>
      </c>
      <c r="D50" s="30">
        <f t="shared" si="76"/>
        <v>2.3810729910866729E-3</v>
      </c>
      <c r="E50" s="12">
        <v>2000</v>
      </c>
      <c r="F50" s="30">
        <f t="shared" si="77"/>
        <v>2.2622480945587936E-3</v>
      </c>
      <c r="G50" s="12">
        <v>2000</v>
      </c>
      <c r="H50" s="30">
        <f t="shared" si="78"/>
        <v>2.2000352744635764E-3</v>
      </c>
      <c r="I50" s="12">
        <v>2000</v>
      </c>
      <c r="J50" s="30">
        <f t="shared" si="79"/>
        <v>2.7200954595305547E-3</v>
      </c>
      <c r="K50" s="12">
        <v>2000</v>
      </c>
      <c r="L50" s="30">
        <f t="shared" si="80"/>
        <v>2.5683161894116241E-3</v>
      </c>
      <c r="M50" s="12">
        <v>2000</v>
      </c>
      <c r="N50" s="30">
        <f t="shared" si="81"/>
        <v>2.5683161894116241E-3</v>
      </c>
      <c r="O50" s="12">
        <v>2000</v>
      </c>
      <c r="P50" s="30">
        <f t="shared" si="82"/>
        <v>2.5683161894116241E-3</v>
      </c>
      <c r="Q50" s="12">
        <v>2000</v>
      </c>
      <c r="R50" s="30">
        <f t="shared" si="83"/>
        <v>2.5683161894116241E-3</v>
      </c>
      <c r="S50" s="12">
        <v>2000</v>
      </c>
      <c r="T50" s="30">
        <f t="shared" si="84"/>
        <v>2.4325800611470377E-3</v>
      </c>
      <c r="U50" s="12">
        <v>2000</v>
      </c>
      <c r="V50" s="30">
        <f t="shared" si="85"/>
        <v>2.4325800611470377E-3</v>
      </c>
      <c r="W50" s="12">
        <v>2000</v>
      </c>
      <c r="X50" s="30">
        <f t="shared" si="86"/>
        <v>2.3699537483713191E-3</v>
      </c>
      <c r="Y50" s="12">
        <v>2000</v>
      </c>
      <c r="Z50" s="30">
        <f t="shared" si="87"/>
        <v>2.3699537483713191E-3</v>
      </c>
      <c r="AA50" s="29">
        <f t="shared" si="88"/>
        <v>24000.027071830449</v>
      </c>
      <c r="AB50" s="30">
        <f t="shared" si="89"/>
        <v>2.4451394086623954E-3</v>
      </c>
      <c r="AC50" s="12">
        <v>100</v>
      </c>
      <c r="AD50" s="30">
        <f t="shared" si="90"/>
        <v>1.1007748790280332E-4</v>
      </c>
      <c r="AE50" s="12">
        <v>100</v>
      </c>
      <c r="AF50" s="30">
        <f t="shared" si="91"/>
        <v>1.0747630129285522E-4</v>
      </c>
      <c r="AG50" s="12">
        <v>100</v>
      </c>
      <c r="AH50" s="30">
        <f t="shared" si="92"/>
        <v>1.0747630129285522E-4</v>
      </c>
      <c r="AI50" s="12">
        <v>100</v>
      </c>
      <c r="AJ50" s="30">
        <f t="shared" si="93"/>
        <v>1.3688158208433409E-4</v>
      </c>
      <c r="AK50" s="12">
        <v>100</v>
      </c>
      <c r="AL50" s="30">
        <f t="shared" si="94"/>
        <v>1.2811835659878133E-4</v>
      </c>
      <c r="AM50" s="31"/>
      <c r="AN50" s="12">
        <v>100</v>
      </c>
      <c r="AO50" s="30">
        <f t="shared" si="95"/>
        <v>1.2811835659878133E-4</v>
      </c>
      <c r="AP50" s="12">
        <v>100</v>
      </c>
      <c r="AQ50" s="30">
        <f t="shared" si="96"/>
        <v>1.2811835659878133E-4</v>
      </c>
      <c r="AR50" s="12">
        <v>100</v>
      </c>
      <c r="AS50" s="30">
        <f t="shared" si="97"/>
        <v>1.2811835659878133E-4</v>
      </c>
      <c r="AT50" s="12">
        <v>100</v>
      </c>
      <c r="AU50" s="30">
        <f t="shared" si="98"/>
        <v>1.2040967088284984E-4</v>
      </c>
      <c r="AV50" s="12">
        <v>100</v>
      </c>
      <c r="AW50" s="30">
        <f t="shared" si="99"/>
        <v>1.2040967088284984E-4</v>
      </c>
      <c r="AX50" s="12">
        <v>100</v>
      </c>
      <c r="AY50" s="30">
        <f t="shared" si="100"/>
        <v>1.1689303329865444E-4</v>
      </c>
      <c r="AZ50" s="12">
        <v>100</v>
      </c>
      <c r="BA50" s="30">
        <f t="shared" si="101"/>
        <v>1.1689303329865444E-4</v>
      </c>
      <c r="BB50" s="84">
        <f t="shared" si="2"/>
        <v>1200.001448990507</v>
      </c>
      <c r="BC50" s="30">
        <f t="shared" si="102"/>
        <v>1.2007251260239621E-4</v>
      </c>
    </row>
    <row r="51" spans="1:55" s="13" customFormat="1" ht="11" hidden="1" outlineLevel="2" x14ac:dyDescent="0.15">
      <c r="A51" s="3" t="s">
        <v>79</v>
      </c>
      <c r="B51" s="3"/>
      <c r="C51" s="12">
        <v>1000</v>
      </c>
      <c r="D51" s="30">
        <f t="shared" si="76"/>
        <v>1.1905364955433365E-3</v>
      </c>
      <c r="E51" s="12">
        <v>1000</v>
      </c>
      <c r="F51" s="30">
        <f t="shared" si="77"/>
        <v>1.1311240472793968E-3</v>
      </c>
      <c r="G51" s="12">
        <v>1000</v>
      </c>
      <c r="H51" s="30">
        <f t="shared" si="78"/>
        <v>1.1000176372317882E-3</v>
      </c>
      <c r="I51" s="12">
        <v>1000</v>
      </c>
      <c r="J51" s="30">
        <f t="shared" si="79"/>
        <v>1.3600477297652774E-3</v>
      </c>
      <c r="K51" s="12">
        <v>1000</v>
      </c>
      <c r="L51" s="30">
        <f t="shared" si="80"/>
        <v>1.2841580947058121E-3</v>
      </c>
      <c r="M51" s="12">
        <v>1000</v>
      </c>
      <c r="N51" s="30">
        <f t="shared" si="81"/>
        <v>1.2841580947058121E-3</v>
      </c>
      <c r="O51" s="12">
        <v>1000</v>
      </c>
      <c r="P51" s="30">
        <f t="shared" si="82"/>
        <v>1.2841580947058121E-3</v>
      </c>
      <c r="Q51" s="12">
        <v>1000</v>
      </c>
      <c r="R51" s="30">
        <f t="shared" si="83"/>
        <v>1.2841580947058121E-3</v>
      </c>
      <c r="S51" s="12">
        <v>1000</v>
      </c>
      <c r="T51" s="30">
        <f t="shared" si="84"/>
        <v>1.2162900305735188E-3</v>
      </c>
      <c r="U51" s="12">
        <v>1000</v>
      </c>
      <c r="V51" s="30">
        <f t="shared" si="85"/>
        <v>1.2162900305735188E-3</v>
      </c>
      <c r="W51" s="12">
        <v>1000</v>
      </c>
      <c r="X51" s="30">
        <f t="shared" si="86"/>
        <v>1.1849768741856595E-3</v>
      </c>
      <c r="Y51" s="12">
        <v>1000</v>
      </c>
      <c r="Z51" s="30">
        <f t="shared" si="87"/>
        <v>1.1849768741856595E-3</v>
      </c>
      <c r="AA51" s="29">
        <f t="shared" si="88"/>
        <v>12000.013535915225</v>
      </c>
      <c r="AB51" s="30">
        <f t="shared" si="89"/>
        <v>1.2225697043311977E-3</v>
      </c>
      <c r="AC51" s="12">
        <v>1000</v>
      </c>
      <c r="AD51" s="30">
        <f t="shared" si="90"/>
        <v>1.1007748790280332E-3</v>
      </c>
      <c r="AE51" s="12">
        <v>1000</v>
      </c>
      <c r="AF51" s="30">
        <f t="shared" si="91"/>
        <v>1.0747630129285522E-3</v>
      </c>
      <c r="AG51" s="12">
        <v>1000</v>
      </c>
      <c r="AH51" s="30">
        <f t="shared" si="92"/>
        <v>1.0747630129285522E-3</v>
      </c>
      <c r="AI51" s="12">
        <v>1000</v>
      </c>
      <c r="AJ51" s="30">
        <f t="shared" si="93"/>
        <v>1.3688158208433408E-3</v>
      </c>
      <c r="AK51" s="12">
        <v>1000</v>
      </c>
      <c r="AL51" s="30">
        <f t="shared" si="94"/>
        <v>1.2811835659878132E-3</v>
      </c>
      <c r="AM51" s="31"/>
      <c r="AN51" s="12">
        <v>1000</v>
      </c>
      <c r="AO51" s="30">
        <f t="shared" si="95"/>
        <v>1.2811835659878132E-3</v>
      </c>
      <c r="AP51" s="12">
        <v>1000</v>
      </c>
      <c r="AQ51" s="30">
        <f t="shared" si="96"/>
        <v>1.2811835659878132E-3</v>
      </c>
      <c r="AR51" s="12">
        <v>1000</v>
      </c>
      <c r="AS51" s="30">
        <f t="shared" si="97"/>
        <v>1.2811835659878132E-3</v>
      </c>
      <c r="AT51" s="12">
        <v>1000</v>
      </c>
      <c r="AU51" s="30">
        <f t="shared" si="98"/>
        <v>1.2040967088284985E-3</v>
      </c>
      <c r="AV51" s="12">
        <v>1000</v>
      </c>
      <c r="AW51" s="30">
        <f t="shared" si="99"/>
        <v>1.2040967088284985E-3</v>
      </c>
      <c r="AX51" s="12">
        <v>1000</v>
      </c>
      <c r="AY51" s="30">
        <f t="shared" si="100"/>
        <v>1.1689303329865445E-3</v>
      </c>
      <c r="AZ51" s="12">
        <v>1000</v>
      </c>
      <c r="BA51" s="30">
        <f t="shared" si="101"/>
        <v>1.1689303329865445E-3</v>
      </c>
      <c r="BB51" s="84">
        <f t="shared" si="2"/>
        <v>12000.014489905074</v>
      </c>
      <c r="BC51" s="30">
        <f t="shared" si="102"/>
        <v>1.2007251260239625E-3</v>
      </c>
    </row>
    <row r="52" spans="1:55" s="13" customFormat="1" ht="11" hidden="1" outlineLevel="2" x14ac:dyDescent="0.15">
      <c r="A52" s="3" t="s">
        <v>80</v>
      </c>
      <c r="B52" s="3"/>
      <c r="C52" s="12">
        <v>2000</v>
      </c>
      <c r="D52" s="30">
        <f t="shared" si="76"/>
        <v>2.3810729910866729E-3</v>
      </c>
      <c r="E52" s="12">
        <v>2000</v>
      </c>
      <c r="F52" s="30">
        <f t="shared" si="77"/>
        <v>2.2622480945587936E-3</v>
      </c>
      <c r="G52" s="12">
        <v>2000</v>
      </c>
      <c r="H52" s="30">
        <f t="shared" si="78"/>
        <v>2.2000352744635764E-3</v>
      </c>
      <c r="I52" s="12">
        <v>2000</v>
      </c>
      <c r="J52" s="30">
        <f t="shared" si="79"/>
        <v>2.7200954595305547E-3</v>
      </c>
      <c r="K52" s="12">
        <v>2000</v>
      </c>
      <c r="L52" s="30">
        <f t="shared" si="80"/>
        <v>2.5683161894116241E-3</v>
      </c>
      <c r="M52" s="12">
        <v>2000</v>
      </c>
      <c r="N52" s="30">
        <f t="shared" si="81"/>
        <v>2.5683161894116241E-3</v>
      </c>
      <c r="O52" s="12">
        <v>2000</v>
      </c>
      <c r="P52" s="30">
        <f t="shared" si="82"/>
        <v>2.5683161894116241E-3</v>
      </c>
      <c r="Q52" s="12">
        <v>2000</v>
      </c>
      <c r="R52" s="30">
        <f t="shared" si="83"/>
        <v>2.5683161894116241E-3</v>
      </c>
      <c r="S52" s="12">
        <v>2000</v>
      </c>
      <c r="T52" s="30">
        <f t="shared" si="84"/>
        <v>2.4325800611470377E-3</v>
      </c>
      <c r="U52" s="12">
        <v>2000</v>
      </c>
      <c r="V52" s="30">
        <f t="shared" si="85"/>
        <v>2.4325800611470377E-3</v>
      </c>
      <c r="W52" s="12">
        <v>2000</v>
      </c>
      <c r="X52" s="30">
        <f t="shared" si="86"/>
        <v>2.3699537483713191E-3</v>
      </c>
      <c r="Y52" s="12">
        <v>2000</v>
      </c>
      <c r="Z52" s="30">
        <f t="shared" si="87"/>
        <v>2.3699537483713191E-3</v>
      </c>
      <c r="AA52" s="29">
        <f t="shared" si="88"/>
        <v>24000.027071830449</v>
      </c>
      <c r="AB52" s="30">
        <f t="shared" si="89"/>
        <v>2.4451394086623954E-3</v>
      </c>
      <c r="AC52" s="12">
        <v>2000</v>
      </c>
      <c r="AD52" s="30">
        <f t="shared" si="90"/>
        <v>2.2015497580560664E-3</v>
      </c>
      <c r="AE52" s="12">
        <v>2000</v>
      </c>
      <c r="AF52" s="30">
        <f t="shared" si="91"/>
        <v>2.1495260258571043E-3</v>
      </c>
      <c r="AG52" s="12">
        <v>2000</v>
      </c>
      <c r="AH52" s="30">
        <f t="shared" si="92"/>
        <v>2.1495260258571043E-3</v>
      </c>
      <c r="AI52" s="12">
        <v>2000</v>
      </c>
      <c r="AJ52" s="30">
        <f t="shared" si="93"/>
        <v>2.7376316416866816E-3</v>
      </c>
      <c r="AK52" s="12">
        <v>2000</v>
      </c>
      <c r="AL52" s="30">
        <f t="shared" si="94"/>
        <v>2.5623671319756265E-3</v>
      </c>
      <c r="AM52" s="31"/>
      <c r="AN52" s="12">
        <v>2000</v>
      </c>
      <c r="AO52" s="30">
        <f t="shared" si="95"/>
        <v>2.5623671319756265E-3</v>
      </c>
      <c r="AP52" s="12">
        <v>2000</v>
      </c>
      <c r="AQ52" s="30">
        <f t="shared" si="96"/>
        <v>2.5623671319756265E-3</v>
      </c>
      <c r="AR52" s="12">
        <v>2000</v>
      </c>
      <c r="AS52" s="30">
        <f t="shared" si="97"/>
        <v>2.5623671319756265E-3</v>
      </c>
      <c r="AT52" s="12">
        <v>2000</v>
      </c>
      <c r="AU52" s="30">
        <f t="shared" si="98"/>
        <v>2.408193417656997E-3</v>
      </c>
      <c r="AV52" s="12">
        <v>2000</v>
      </c>
      <c r="AW52" s="30">
        <f t="shared" si="99"/>
        <v>2.408193417656997E-3</v>
      </c>
      <c r="AX52" s="12">
        <v>2000</v>
      </c>
      <c r="AY52" s="30">
        <f t="shared" si="100"/>
        <v>2.3378606659730889E-3</v>
      </c>
      <c r="AZ52" s="12">
        <v>2000</v>
      </c>
      <c r="BA52" s="30">
        <f t="shared" si="101"/>
        <v>2.3378606659730889E-3</v>
      </c>
      <c r="BB52" s="84">
        <f t="shared" si="2"/>
        <v>24000.028979810148</v>
      </c>
      <c r="BC52" s="30">
        <f t="shared" si="102"/>
        <v>2.4014502520479249E-3</v>
      </c>
    </row>
    <row r="53" spans="1:55" s="13" customFormat="1" ht="11" hidden="1" outlineLevel="2" x14ac:dyDescent="0.15">
      <c r="A53" s="3" t="s">
        <v>78</v>
      </c>
      <c r="B53" s="3"/>
      <c r="C53" s="12">
        <v>1500</v>
      </c>
      <c r="D53" s="30">
        <f>C53/C$19</f>
        <v>1.7858047433150046E-3</v>
      </c>
      <c r="E53" s="12">
        <v>1500</v>
      </c>
      <c r="F53" s="30">
        <f>E53/E$19</f>
        <v>1.696686070919095E-3</v>
      </c>
      <c r="G53" s="12">
        <v>1500</v>
      </c>
      <c r="H53" s="30">
        <f>G53/G$19</f>
        <v>1.6500264558476823E-3</v>
      </c>
      <c r="I53" s="12">
        <v>1500</v>
      </c>
      <c r="J53" s="30">
        <f>I53/I$19</f>
        <v>2.040071594647916E-3</v>
      </c>
      <c r="K53" s="12">
        <v>1500</v>
      </c>
      <c r="L53" s="30">
        <f>K53/K$19</f>
        <v>1.9262371420587182E-3</v>
      </c>
      <c r="M53" s="12">
        <v>1500</v>
      </c>
      <c r="N53" s="30">
        <f>M53/M$19</f>
        <v>1.9262371420587182E-3</v>
      </c>
      <c r="O53" s="12">
        <v>1500</v>
      </c>
      <c r="P53" s="30">
        <f>O53/O$19</f>
        <v>1.9262371420587182E-3</v>
      </c>
      <c r="Q53" s="12">
        <v>1500</v>
      </c>
      <c r="R53" s="30">
        <f>Q53/Q$19</f>
        <v>1.9262371420587182E-3</v>
      </c>
      <c r="S53" s="12">
        <v>1500</v>
      </c>
      <c r="T53" s="30">
        <f>S53/S$19</f>
        <v>1.8244350458602784E-3</v>
      </c>
      <c r="U53" s="12">
        <v>1500</v>
      </c>
      <c r="V53" s="30">
        <f>U53/U$19</f>
        <v>1.8244350458602784E-3</v>
      </c>
      <c r="W53" s="12">
        <v>1500</v>
      </c>
      <c r="X53" s="30">
        <f>W53/W$19</f>
        <v>1.7774653112784895E-3</v>
      </c>
      <c r="Y53" s="12">
        <v>1500</v>
      </c>
      <c r="Z53" s="30">
        <f>Y53/Y$19</f>
        <v>1.7774653112784895E-3</v>
      </c>
      <c r="AA53" s="29">
        <f t="shared" si="88"/>
        <v>18000.020303872836</v>
      </c>
      <c r="AB53" s="30">
        <f t="shared" si="89"/>
        <v>1.8338545564967963E-3</v>
      </c>
      <c r="AC53" s="12">
        <v>250</v>
      </c>
      <c r="AD53" s="30">
        <f>AC53/AC$19</f>
        <v>2.751937197570083E-4</v>
      </c>
      <c r="AE53" s="12">
        <v>250</v>
      </c>
      <c r="AF53" s="30">
        <f>AE53/AE$19</f>
        <v>2.6869075323213804E-4</v>
      </c>
      <c r="AG53" s="12">
        <v>250</v>
      </c>
      <c r="AH53" s="30">
        <f>AG53/AG$19</f>
        <v>2.6869075323213804E-4</v>
      </c>
      <c r="AI53" s="12">
        <v>250</v>
      </c>
      <c r="AJ53" s="30">
        <f>AI53/AI$19</f>
        <v>3.422039552108352E-4</v>
      </c>
      <c r="AK53" s="12">
        <v>250</v>
      </c>
      <c r="AL53" s="30">
        <f>AK53/AK$19</f>
        <v>3.2029589149695331E-4</v>
      </c>
      <c r="AM53" s="31"/>
      <c r="AN53" s="12">
        <v>250</v>
      </c>
      <c r="AO53" s="30">
        <f>AN53/AN$19</f>
        <v>3.2029589149695331E-4</v>
      </c>
      <c r="AP53" s="12">
        <v>250</v>
      </c>
      <c r="AQ53" s="30">
        <f>AP53/AP$19</f>
        <v>3.2029589149695331E-4</v>
      </c>
      <c r="AR53" s="12">
        <v>250</v>
      </c>
      <c r="AS53" s="30">
        <f>AR53/AR$19</f>
        <v>3.2029589149695331E-4</v>
      </c>
      <c r="AT53" s="12">
        <v>250</v>
      </c>
      <c r="AU53" s="30">
        <f>AT53/AT$19</f>
        <v>3.0102417720712462E-4</v>
      </c>
      <c r="AV53" s="12">
        <v>250</v>
      </c>
      <c r="AW53" s="30">
        <f>AV53/AV$19</f>
        <v>3.0102417720712462E-4</v>
      </c>
      <c r="AX53" s="12">
        <v>250</v>
      </c>
      <c r="AY53" s="30">
        <f>AX53/AX$19</f>
        <v>2.9223258324663612E-4</v>
      </c>
      <c r="AZ53" s="12">
        <v>250</v>
      </c>
      <c r="BA53" s="30">
        <f>AZ53/AZ$19</f>
        <v>2.9223258324663612E-4</v>
      </c>
      <c r="BB53" s="84">
        <f t="shared" si="2"/>
        <v>3000.0036224762684</v>
      </c>
      <c r="BC53" s="30">
        <f>BB53/BB$19</f>
        <v>3.0018128150599061E-4</v>
      </c>
    </row>
    <row r="54" spans="1:55" s="13" customFormat="1" ht="11" collapsed="1" x14ac:dyDescent="0.15">
      <c r="A54" s="3" t="s">
        <v>156</v>
      </c>
      <c r="B54" s="3"/>
      <c r="C54" s="75">
        <f>SUM(C44:C53)</f>
        <v>35129.063919799999</v>
      </c>
      <c r="D54" s="30">
        <f>C54/C$19</f>
        <v>4.1822432650796555E-2</v>
      </c>
      <c r="E54" s="75">
        <f>SUM(E44:E53)</f>
        <v>38599.6793282</v>
      </c>
      <c r="F54" s="30">
        <f>E54/E$19</f>
        <v>4.366102550540045E-2</v>
      </c>
      <c r="G54" s="75">
        <f>SUM(G44:G53)</f>
        <v>41649.6793282</v>
      </c>
      <c r="H54" s="30">
        <f>G54/G$19</f>
        <v>4.5815381846068218E-2</v>
      </c>
      <c r="I54" s="75">
        <f>SUM(I44:I53)</f>
        <v>33399.561322699999</v>
      </c>
      <c r="J54" s="30">
        <f>I54/I$19</f>
        <v>4.5424997552094296E-2</v>
      </c>
      <c r="K54" s="75">
        <f>SUM(K44:K53)</f>
        <v>34138.2454077</v>
      </c>
      <c r="L54" s="30">
        <f>K54/K$19</f>
        <v>4.3838904179351476E-2</v>
      </c>
      <c r="M54" s="75">
        <f>SUM(M44:M53)</f>
        <v>34138.2454077</v>
      </c>
      <c r="N54" s="30">
        <f>M54/M$19</f>
        <v>4.3838904179351476E-2</v>
      </c>
      <c r="O54" s="75">
        <f>SUM(O44:O53)</f>
        <v>34138.2454077</v>
      </c>
      <c r="P54" s="30">
        <f>O54/O$19</f>
        <v>4.3838904179351476E-2</v>
      </c>
      <c r="Q54" s="75">
        <f>SUM(Q44:Q53)</f>
        <v>34138.2454077</v>
      </c>
      <c r="R54" s="30">
        <f>Q54/Q$19</f>
        <v>4.3838904179351476E-2</v>
      </c>
      <c r="S54" s="75">
        <f>SUM(S44:S53)</f>
        <v>34876.929492700001</v>
      </c>
      <c r="T54" s="30">
        <f>S54/S$19</f>
        <v>4.2420461638986551E-2</v>
      </c>
      <c r="U54" s="75">
        <f>SUM(U44:U53)</f>
        <v>34376.929492700001</v>
      </c>
      <c r="V54" s="30">
        <f>U54/U$19</f>
        <v>4.1812316623699788E-2</v>
      </c>
      <c r="W54" s="75">
        <f>SUM(W44:W53)</f>
        <v>34746.271535200001</v>
      </c>
      <c r="X54" s="30">
        <f>W54/W$19</f>
        <v>4.1173528233387456E-2</v>
      </c>
      <c r="Y54" s="75">
        <f>SUM(Y44:Y53)</f>
        <v>34996.271535200001</v>
      </c>
      <c r="Z54" s="30">
        <f>Y54/Y$19</f>
        <v>4.1469772451933874E-2</v>
      </c>
      <c r="AA54" s="75">
        <f>SUM(AA44:AA53)</f>
        <v>424327.84507126082</v>
      </c>
      <c r="AB54" s="30">
        <f>AA54/AA$19</f>
        <v>4.3230815243301281E-2</v>
      </c>
      <c r="AC54" s="75">
        <f>SUM(AC44:AC53)</f>
        <v>33785.921208</v>
      </c>
      <c r="AD54" s="30">
        <f>AC54/AC$19</f>
        <v>3.719069333058686E-2</v>
      </c>
      <c r="AE54" s="75">
        <f>SUM(AE44:AE53)</f>
        <v>34269.628872000001</v>
      </c>
      <c r="AF54" s="30">
        <f>AE54/AE$19</f>
        <v>3.6831729578414019E-2</v>
      </c>
      <c r="AG54" s="75">
        <f>SUM(AG44:AG53)</f>
        <v>34019.628872000001</v>
      </c>
      <c r="AH54" s="30">
        <f>AG54/AG$19</f>
        <v>3.656303882518188E-2</v>
      </c>
      <c r="AI54" s="75">
        <f>SUM(AI44:AI53)</f>
        <v>29622.286472</v>
      </c>
      <c r="AJ54" s="30">
        <f>AI54/AI$19</f>
        <v>4.0547454372427273E-2</v>
      </c>
      <c r="AK54" s="75">
        <f>SUM(AK44:AK53)</f>
        <v>30721.622072000002</v>
      </c>
      <c r="AL54" s="30">
        <f>AK54/AK$19</f>
        <v>3.9360037319134872E-2</v>
      </c>
      <c r="AM54" s="31"/>
      <c r="AN54" s="75">
        <f>SUM(AN44:AN53)</f>
        <v>29721.623553221096</v>
      </c>
      <c r="AO54" s="30">
        <f>AN54/AN$19</f>
        <v>3.8078855650863185E-2</v>
      </c>
      <c r="AP54" s="75">
        <f>SUM(AP44:AP53)</f>
        <v>29721.623931324782</v>
      </c>
      <c r="AQ54" s="30">
        <f>AP54/AP$19</f>
        <v>3.8078856135283411E-2</v>
      </c>
      <c r="AR54" s="75">
        <f>SUM(AR44:AR53)</f>
        <v>29721.623447968599</v>
      </c>
      <c r="AS54" s="30">
        <f>AR54/AR$19</f>
        <v>3.8078855516015413E-2</v>
      </c>
      <c r="AT54" s="75">
        <f>SUM(AT44:AT53)</f>
        <v>30820.959015453765</v>
      </c>
      <c r="AU54" s="30">
        <f>AT54/AT$19</f>
        <v>3.7111415313445917E-2</v>
      </c>
      <c r="AV54" s="75">
        <f>SUM(AV44:AV53)</f>
        <v>30820.958746763012</v>
      </c>
      <c r="AW54" s="30">
        <f>AV54/AV$19</f>
        <v>3.7111414989916262E-2</v>
      </c>
      <c r="AX54" s="75">
        <f>SUM(AX44:AX53)</f>
        <v>31370.626840815825</v>
      </c>
      <c r="AY54" s="30">
        <f>AX54/AX$19</f>
        <v>3.6670077279031467E-2</v>
      </c>
      <c r="AZ54" s="75">
        <f>SUM(AZ44:AZ53)</f>
        <v>31370.626753183569</v>
      </c>
      <c r="BA54" s="30">
        <f>AZ54/AZ$19</f>
        <v>3.667007717659547E-2</v>
      </c>
      <c r="BB54" s="84">
        <f t="shared" si="2"/>
        <v>375967.58207723615</v>
      </c>
      <c r="BC54" s="30">
        <f>BB54/BB$19</f>
        <v>3.7619431439051942E-2</v>
      </c>
    </row>
    <row r="55" spans="1:55" s="13" customFormat="1" ht="11" hidden="1" outlineLevel="1" x14ac:dyDescent="0.15">
      <c r="A55" s="74" t="s">
        <v>87</v>
      </c>
      <c r="B55" s="3"/>
      <c r="C55" s="12"/>
      <c r="D55" s="30"/>
      <c r="E55" s="12"/>
      <c r="F55" s="30"/>
      <c r="G55" s="12"/>
      <c r="H55" s="30"/>
      <c r="I55" s="12"/>
      <c r="J55" s="30"/>
      <c r="K55" s="12"/>
      <c r="L55" s="30"/>
      <c r="M55" s="12"/>
      <c r="N55" s="30"/>
      <c r="O55" s="12"/>
      <c r="P55" s="30"/>
      <c r="Q55" s="12"/>
      <c r="R55" s="30"/>
      <c r="S55" s="12"/>
      <c r="T55" s="30"/>
      <c r="U55" s="12"/>
      <c r="V55" s="30"/>
      <c r="W55" s="12"/>
      <c r="X55" s="30"/>
      <c r="Y55" s="12"/>
      <c r="Z55" s="30"/>
      <c r="AA55" s="29"/>
      <c r="AB55" s="30"/>
      <c r="AC55" s="12"/>
      <c r="AD55" s="30"/>
      <c r="AE55" s="12"/>
      <c r="AF55" s="30"/>
      <c r="AG55" s="12"/>
      <c r="AH55" s="30"/>
      <c r="AI55" s="12"/>
      <c r="AJ55" s="30"/>
      <c r="AK55" s="12"/>
      <c r="AL55" s="30"/>
      <c r="AM55" s="31"/>
      <c r="AN55" s="12"/>
      <c r="AO55" s="30"/>
      <c r="AP55" s="12"/>
      <c r="AQ55" s="30"/>
      <c r="AR55" s="12"/>
      <c r="AS55" s="30"/>
      <c r="AT55" s="12"/>
      <c r="AU55" s="30"/>
      <c r="AV55" s="12"/>
      <c r="AW55" s="30"/>
      <c r="AX55" s="12"/>
      <c r="AY55" s="30"/>
      <c r="AZ55" s="12"/>
      <c r="BA55" s="30"/>
      <c r="BB55" s="84"/>
      <c r="BC55" s="30"/>
    </row>
    <row r="56" spans="1:55" s="13" customFormat="1" ht="11" hidden="1" outlineLevel="1" x14ac:dyDescent="0.15">
      <c r="A56" s="3" t="s">
        <v>19</v>
      </c>
      <c r="B56" s="3"/>
      <c r="C56" s="12">
        <v>30000</v>
      </c>
      <c r="D56" s="30">
        <f>C56/$C$19</f>
        <v>3.5716094866300091E-2</v>
      </c>
      <c r="E56" s="12">
        <v>30000</v>
      </c>
      <c r="F56" s="30">
        <f>E56/$E$19</f>
        <v>3.3933721418381899E-2</v>
      </c>
      <c r="G56" s="12">
        <v>30000</v>
      </c>
      <c r="H56" s="30">
        <f>G56/$G$19</f>
        <v>3.3000529116953649E-2</v>
      </c>
      <c r="I56" s="12">
        <v>30000</v>
      </c>
      <c r="J56" s="30">
        <f>I56/$I$19</f>
        <v>4.0801431892958318E-2</v>
      </c>
      <c r="K56" s="12">
        <v>30000</v>
      </c>
      <c r="L56" s="30">
        <f>K56/$K$19</f>
        <v>3.8524742841174367E-2</v>
      </c>
      <c r="M56" s="12">
        <v>30000</v>
      </c>
      <c r="N56" s="30">
        <f>M56/$M$19</f>
        <v>3.8524742841174367E-2</v>
      </c>
      <c r="O56" s="12">
        <v>30000</v>
      </c>
      <c r="P56" s="30">
        <f>O56/$O$19</f>
        <v>3.8524742841174367E-2</v>
      </c>
      <c r="Q56" s="12">
        <v>30000</v>
      </c>
      <c r="R56" s="30">
        <f>Q56/$Q$19</f>
        <v>3.8524742841174367E-2</v>
      </c>
      <c r="S56" s="12">
        <v>30000</v>
      </c>
      <c r="T56" s="30">
        <f>S56/$S$19</f>
        <v>3.6488700917205567E-2</v>
      </c>
      <c r="U56" s="12">
        <v>30000</v>
      </c>
      <c r="V56" s="30">
        <f>U56/$U$19</f>
        <v>3.6488700917205567E-2</v>
      </c>
      <c r="W56" s="12">
        <v>30000</v>
      </c>
      <c r="X56" s="30">
        <f>W56/$W$19</f>
        <v>3.5549306225569788E-2</v>
      </c>
      <c r="Y56" s="12">
        <v>30000</v>
      </c>
      <c r="Z56" s="30">
        <f>Y56/$Y$19</f>
        <v>3.5549306225569788E-2</v>
      </c>
      <c r="AA56" s="29">
        <f t="shared" ref="AA56:AA64" si="104">SUM(C56:Y56)</f>
        <v>360000.40607745672</v>
      </c>
      <c r="AB56" s="30">
        <f t="shared" ref="AB56:AB64" si="105">AA56/$AA$19</f>
        <v>3.6677091129935925E-2</v>
      </c>
      <c r="AC56" s="12">
        <f>(7.5%*SUM(AC7+AC8+AC9)+10%*AC16)+6500</f>
        <v>89348.16889999999</v>
      </c>
      <c r="AD56" s="30">
        <f>AC56/$AC$19</f>
        <v>9.8352219812273767E-2</v>
      </c>
      <c r="AE56" s="12">
        <f>(7.5%*SUM(AE7+AE8+AE9)+10%*AE16)+6500</f>
        <v>91353.295100000003</v>
      </c>
      <c r="AF56" s="30">
        <f>AE56/$AE$19</f>
        <v>9.818314268262715E-2</v>
      </c>
      <c r="AG56" s="12">
        <f>(7.5%*SUM(AG7+AG8+AG9)+10%*AG16)+6500</f>
        <v>91353.295100000003</v>
      </c>
      <c r="AH56" s="30">
        <f>AG56/$AG$19</f>
        <v>9.818314268262715E-2</v>
      </c>
      <c r="AI56" s="12">
        <f>(7.5%*SUM(AI7+AI8+AI9)+10%*AI16)+6500</f>
        <v>73124.87509999999</v>
      </c>
      <c r="AJ56" s="30">
        <f>AI56/$AI$19</f>
        <v>0.10009448593407326</v>
      </c>
      <c r="AK56" s="12">
        <f>(7.5%*SUM(AK7+AK8+AK9)+10%*AK16)+6500</f>
        <v>77681.980100000001</v>
      </c>
      <c r="AL56" s="30">
        <f>AK56/$AK$19</f>
        <v>9.9524876277512345E-2</v>
      </c>
      <c r="AM56" s="31">
        <v>2.1072329856603358E-2</v>
      </c>
      <c r="AN56" s="12">
        <f>(7.5%*SUM(AN7+AN8+AN9)+10%*AN16)+6500</f>
        <v>77681.980100000001</v>
      </c>
      <c r="AO56" s="30">
        <f>AN56/$AN$19</f>
        <v>9.9524876277512345E-2</v>
      </c>
      <c r="AP56" s="12">
        <f>(7.5%*SUM(AP7+AP8+AP9)+10%*AP16)+6500</f>
        <v>77681.980100000001</v>
      </c>
      <c r="AQ56" s="30">
        <f>AP56/$AP$19</f>
        <v>9.9524876277512345E-2</v>
      </c>
      <c r="AR56" s="12">
        <f>(7.5%*SUM(AR7+AR8+AR9)+10%*AR16)+6500</f>
        <v>77681.980100000001</v>
      </c>
      <c r="AS56" s="30">
        <f>AR56/$AR$19</f>
        <v>9.9524876277512345E-2</v>
      </c>
      <c r="AT56" s="12">
        <f>(7.5%*SUM(AT7+AT8+AT9)+10%*AT16)+6500</f>
        <v>82239.085099999997</v>
      </c>
      <c r="AU56" s="30">
        <f>AT56/$AT$19</f>
        <v>9.9023811705976794E-2</v>
      </c>
      <c r="AV56" s="12">
        <f>(7.5%*SUM(AV7+AV8+AV9)+10%*AV16)+6500</f>
        <v>82239.085099999997</v>
      </c>
      <c r="AW56" s="30">
        <f>AV56/$AV$19</f>
        <v>9.9023811705976794E-2</v>
      </c>
      <c r="AX56" s="12">
        <f>(7.5%*SUM(AX7+AX8+AX9)+10%*AX16)+6500</f>
        <v>84517.637600000002</v>
      </c>
      <c r="AY56" s="30">
        <f>AX56/$AX$19</f>
        <v>9.8795230263004089E-2</v>
      </c>
      <c r="AZ56" s="12">
        <f>(7.5%*SUM(AZ7+AZ8+AZ9)+10%*AZ16)+6500</f>
        <v>84517.637600000002</v>
      </c>
      <c r="BA56" s="30">
        <f>AZ56/$AZ$19</f>
        <v>9.8795230263004089E-2</v>
      </c>
      <c r="BB56" s="84">
        <f t="shared" si="2"/>
        <v>989422.20962291025</v>
      </c>
      <c r="BC56" s="30">
        <f>BB56/$BB$19</f>
        <v>9.9001889401033064E-2</v>
      </c>
    </row>
    <row r="57" spans="1:55" s="13" customFormat="1" ht="11" hidden="1" outlineLevel="1" x14ac:dyDescent="0.15">
      <c r="A57" s="3" t="s">
        <v>21</v>
      </c>
      <c r="B57" s="3"/>
      <c r="C57" s="12">
        <v>500</v>
      </c>
      <c r="D57" s="30">
        <f>C57/$C$19</f>
        <v>5.9526824777166823E-4</v>
      </c>
      <c r="E57" s="12">
        <v>500</v>
      </c>
      <c r="F57" s="30">
        <f>E57/$E$19</f>
        <v>5.6556202363969841E-4</v>
      </c>
      <c r="G57" s="12">
        <v>500</v>
      </c>
      <c r="H57" s="30">
        <f>G57/$G$19</f>
        <v>5.5000881861589409E-4</v>
      </c>
      <c r="I57" s="12">
        <v>500</v>
      </c>
      <c r="J57" s="30">
        <f>I57/$I$19</f>
        <v>6.8002386488263868E-4</v>
      </c>
      <c r="K57" s="12">
        <v>500</v>
      </c>
      <c r="L57" s="30">
        <f>K57/$K$19</f>
        <v>6.4207904735290604E-4</v>
      </c>
      <c r="M57" s="12">
        <v>500</v>
      </c>
      <c r="N57" s="30">
        <f>M57/$M$19</f>
        <v>6.4207904735290604E-4</v>
      </c>
      <c r="O57" s="12">
        <v>500</v>
      </c>
      <c r="P57" s="30">
        <f>O57/$O$19</f>
        <v>6.4207904735290604E-4</v>
      </c>
      <c r="Q57" s="12">
        <v>500</v>
      </c>
      <c r="R57" s="30">
        <f>Q57/$Q$19</f>
        <v>6.4207904735290604E-4</v>
      </c>
      <c r="S57" s="12">
        <v>500</v>
      </c>
      <c r="T57" s="30">
        <f>S57/$S$19</f>
        <v>6.0814501528675942E-4</v>
      </c>
      <c r="U57" s="12">
        <v>500</v>
      </c>
      <c r="V57" s="30">
        <f>U57/$U$19</f>
        <v>6.0814501528675942E-4</v>
      </c>
      <c r="W57" s="12">
        <v>500</v>
      </c>
      <c r="X57" s="30">
        <f>W57/$W$19</f>
        <v>5.9248843709282977E-4</v>
      </c>
      <c r="Y57" s="12">
        <v>500</v>
      </c>
      <c r="Z57" s="30">
        <f>Y57/$Y$19</f>
        <v>5.9248843709282977E-4</v>
      </c>
      <c r="AA57" s="29">
        <f t="shared" si="104"/>
        <v>6000.0067679576123</v>
      </c>
      <c r="AB57" s="30">
        <f t="shared" si="105"/>
        <v>6.1128485216559885E-4</v>
      </c>
      <c r="AC57" s="12">
        <v>250</v>
      </c>
      <c r="AD57" s="30">
        <f>AC57/$AC$19</f>
        <v>2.751937197570083E-4</v>
      </c>
      <c r="AE57" s="12">
        <v>250</v>
      </c>
      <c r="AF57" s="30">
        <f>AE57/$AE$19</f>
        <v>2.6869075323213804E-4</v>
      </c>
      <c r="AG57" s="12">
        <v>250</v>
      </c>
      <c r="AH57" s="30">
        <f>AG57/$AG$19</f>
        <v>2.6869075323213804E-4</v>
      </c>
      <c r="AI57" s="12">
        <v>250</v>
      </c>
      <c r="AJ57" s="30">
        <f>AI57/$AI$19</f>
        <v>3.422039552108352E-4</v>
      </c>
      <c r="AK57" s="12">
        <v>250</v>
      </c>
      <c r="AL57" s="30">
        <f>AK57/$AK$19</f>
        <v>3.2029589149695331E-4</v>
      </c>
      <c r="AM57" s="31">
        <v>9.4678732319619706E-4</v>
      </c>
      <c r="AN57" s="12">
        <v>250</v>
      </c>
      <c r="AO57" s="30">
        <f>AN57/$AN$19</f>
        <v>3.2029589149695331E-4</v>
      </c>
      <c r="AP57" s="12">
        <v>250</v>
      </c>
      <c r="AQ57" s="30">
        <f>AP57/$AP$19</f>
        <v>3.2029589149695331E-4</v>
      </c>
      <c r="AR57" s="12">
        <v>250</v>
      </c>
      <c r="AS57" s="30">
        <f>AR57/$AR$19</f>
        <v>3.2029589149695331E-4</v>
      </c>
      <c r="AT57" s="12">
        <v>250</v>
      </c>
      <c r="AU57" s="30">
        <f>AT57/$AT$19</f>
        <v>3.0102417720712462E-4</v>
      </c>
      <c r="AV57" s="12">
        <v>250</v>
      </c>
      <c r="AW57" s="30">
        <f>AV57/$AV$19</f>
        <v>3.0102417720712462E-4</v>
      </c>
      <c r="AX57" s="12">
        <v>250</v>
      </c>
      <c r="AY57" s="30">
        <f>AX57/$AX$19</f>
        <v>2.9223258324663612E-4</v>
      </c>
      <c r="AZ57" s="12">
        <v>250</v>
      </c>
      <c r="BA57" s="30">
        <f>AZ57/$AZ$19</f>
        <v>2.9223258324663612E-4</v>
      </c>
      <c r="BB57" s="84">
        <f t="shared" si="2"/>
        <v>3000.0045692635917</v>
      </c>
      <c r="BC57" s="30">
        <f>BB57/$BB$19</f>
        <v>3.0018137624182026E-4</v>
      </c>
    </row>
    <row r="58" spans="1:55" s="13" customFormat="1" ht="11" hidden="1" outlineLevel="1" x14ac:dyDescent="0.15">
      <c r="A58" s="3" t="s">
        <v>22</v>
      </c>
      <c r="B58" s="3"/>
      <c r="C58" s="12">
        <f>35000/12</f>
        <v>2916.6666666666665</v>
      </c>
      <c r="D58" s="30">
        <f>C58/$C$19</f>
        <v>3.4723981120013975E-3</v>
      </c>
      <c r="E58" s="12">
        <v>2917</v>
      </c>
      <c r="F58" s="30">
        <f>E58/$E$19</f>
        <v>3.299488845914E-3</v>
      </c>
      <c r="G58" s="12">
        <v>2917</v>
      </c>
      <c r="H58" s="30">
        <f>G58/$G$19</f>
        <v>3.2087514478051265E-3</v>
      </c>
      <c r="I58" s="12">
        <v>2917</v>
      </c>
      <c r="J58" s="30">
        <f>I58/$I$19</f>
        <v>3.9672592277253142E-3</v>
      </c>
      <c r="K58" s="12">
        <v>2917</v>
      </c>
      <c r="L58" s="30">
        <f>K58/$K$19</f>
        <v>3.7458891622568539E-3</v>
      </c>
      <c r="M58" s="12">
        <v>2917</v>
      </c>
      <c r="N58" s="30">
        <f>M58/$M$19</f>
        <v>3.7458891622568539E-3</v>
      </c>
      <c r="O58" s="12">
        <v>2917</v>
      </c>
      <c r="P58" s="30">
        <f>O58/$O$19</f>
        <v>3.7458891622568539E-3</v>
      </c>
      <c r="Q58" s="12">
        <v>2917</v>
      </c>
      <c r="R58" s="30">
        <f>Q58/$Q$19</f>
        <v>3.7458891622568539E-3</v>
      </c>
      <c r="S58" s="12">
        <v>2917</v>
      </c>
      <c r="T58" s="30">
        <f>S58/$S$19</f>
        <v>3.5479180191829549E-3</v>
      </c>
      <c r="U58" s="12">
        <v>2917</v>
      </c>
      <c r="V58" s="30">
        <f>U58/$U$19</f>
        <v>3.5479180191829549E-3</v>
      </c>
      <c r="W58" s="12">
        <v>2917</v>
      </c>
      <c r="X58" s="30">
        <f>W58/$W$19</f>
        <v>3.4565775419995691E-3</v>
      </c>
      <c r="Y58" s="12">
        <v>2917</v>
      </c>
      <c r="Z58" s="30">
        <f>Y58/$Y$19</f>
        <v>3.4565775419995691E-3</v>
      </c>
      <c r="AA58" s="29">
        <f t="shared" si="104"/>
        <v>35003.706150534534</v>
      </c>
      <c r="AB58" s="30">
        <f t="shared" si="105"/>
        <v>3.5662018672624148E-3</v>
      </c>
      <c r="AC58" s="12">
        <v>2917</v>
      </c>
      <c r="AD58" s="30">
        <f>AC58/$AC$19</f>
        <v>3.2109603221247727E-3</v>
      </c>
      <c r="AE58" s="12">
        <v>2917</v>
      </c>
      <c r="AF58" s="30">
        <f>AE58/$AE$19</f>
        <v>3.1350837087125868E-3</v>
      </c>
      <c r="AG58" s="12">
        <v>2917</v>
      </c>
      <c r="AH58" s="30">
        <f>AG58/$AG$19</f>
        <v>3.1350837087125868E-3</v>
      </c>
      <c r="AI58" s="12">
        <v>2917</v>
      </c>
      <c r="AJ58" s="30">
        <f>AI58/$AI$19</f>
        <v>3.9928357494000257E-3</v>
      </c>
      <c r="AK58" s="12">
        <v>2917</v>
      </c>
      <c r="AL58" s="30">
        <f>AK58/$AK$19</f>
        <v>3.737212461986451E-3</v>
      </c>
      <c r="AM58" s="31">
        <v>1.1361447878354365E-2</v>
      </c>
      <c r="AN58" s="12">
        <v>2917</v>
      </c>
      <c r="AO58" s="30">
        <f>AN58/$AN$19</f>
        <v>3.737212461986451E-3</v>
      </c>
      <c r="AP58" s="12">
        <v>2917</v>
      </c>
      <c r="AQ58" s="30">
        <f>AP58/$AP$19</f>
        <v>3.737212461986451E-3</v>
      </c>
      <c r="AR58" s="12">
        <v>2917</v>
      </c>
      <c r="AS58" s="30">
        <f>AR58/$AR$19</f>
        <v>3.737212461986451E-3</v>
      </c>
      <c r="AT58" s="12">
        <v>2917</v>
      </c>
      <c r="AU58" s="30">
        <f>AT58/$AT$19</f>
        <v>3.5123500996527297E-3</v>
      </c>
      <c r="AV58" s="12">
        <v>2917</v>
      </c>
      <c r="AW58" s="30">
        <f>AV58/$AV$19</f>
        <v>3.5123500996527297E-3</v>
      </c>
      <c r="AX58" s="12">
        <v>2917</v>
      </c>
      <c r="AY58" s="30">
        <f>AX58/$AX$19</f>
        <v>3.4097697813217499E-3</v>
      </c>
      <c r="AZ58" s="12">
        <v>2917</v>
      </c>
      <c r="BA58" s="30">
        <f>AZ58/$AZ$19</f>
        <v>3.4097697813217499E-3</v>
      </c>
      <c r="BB58" s="84">
        <f t="shared" si="2"/>
        <v>35004.053628500973</v>
      </c>
      <c r="BC58" s="30">
        <f>BB58/$BB$19</f>
        <v>3.5025163294418534E-3</v>
      </c>
    </row>
    <row r="59" spans="1:55" s="13" customFormat="1" ht="11" hidden="1" outlineLevel="1" x14ac:dyDescent="0.15">
      <c r="A59" s="3" t="s">
        <v>82</v>
      </c>
      <c r="B59" s="3"/>
      <c r="C59" s="12">
        <v>2000</v>
      </c>
      <c r="D59" s="30">
        <f>C59/C$19</f>
        <v>2.3810729910866729E-3</v>
      </c>
      <c r="E59" s="12">
        <v>2000</v>
      </c>
      <c r="F59" s="30">
        <f>E59/E$19</f>
        <v>2.2622480945587936E-3</v>
      </c>
      <c r="G59" s="12">
        <v>2000</v>
      </c>
      <c r="H59" s="30">
        <f>G59/G$19</f>
        <v>2.2000352744635764E-3</v>
      </c>
      <c r="I59" s="12">
        <v>2000</v>
      </c>
      <c r="J59" s="30">
        <f>I59/I$19</f>
        <v>2.7200954595305547E-3</v>
      </c>
      <c r="K59" s="12">
        <v>2000</v>
      </c>
      <c r="L59" s="30">
        <f>K59/K$19</f>
        <v>2.5683161894116241E-3</v>
      </c>
      <c r="M59" s="12">
        <v>2000</v>
      </c>
      <c r="N59" s="30">
        <f>M59/M$19</f>
        <v>2.5683161894116241E-3</v>
      </c>
      <c r="O59" s="12">
        <v>2000</v>
      </c>
      <c r="P59" s="30">
        <f>O59/O$19</f>
        <v>2.5683161894116241E-3</v>
      </c>
      <c r="Q59" s="12">
        <v>2000</v>
      </c>
      <c r="R59" s="30">
        <f>Q59/Q$19</f>
        <v>2.5683161894116241E-3</v>
      </c>
      <c r="S59" s="12">
        <v>2000</v>
      </c>
      <c r="T59" s="30">
        <f>S59/S$19</f>
        <v>2.4325800611470377E-3</v>
      </c>
      <c r="U59" s="12">
        <v>2000</v>
      </c>
      <c r="V59" s="30">
        <f>U59/U$19</f>
        <v>2.4325800611470377E-3</v>
      </c>
      <c r="W59" s="12">
        <v>2000</v>
      </c>
      <c r="X59" s="30">
        <f>W59/W$19</f>
        <v>2.3699537483713191E-3</v>
      </c>
      <c r="Y59" s="12">
        <v>2000</v>
      </c>
      <c r="Z59" s="30">
        <f>Y59/Y$19</f>
        <v>2.3699537483713191E-3</v>
      </c>
      <c r="AA59" s="29">
        <f t="shared" si="104"/>
        <v>24000.027071830449</v>
      </c>
      <c r="AB59" s="30">
        <f t="shared" si="105"/>
        <v>2.4451394086623954E-3</v>
      </c>
      <c r="AC59" s="12">
        <v>150</v>
      </c>
      <c r="AD59" s="30">
        <f>AC59/AC$19</f>
        <v>1.6511623185420498E-4</v>
      </c>
      <c r="AE59" s="12">
        <v>150</v>
      </c>
      <c r="AF59" s="30">
        <f>AE59/AE$19</f>
        <v>1.6121445193928284E-4</v>
      </c>
      <c r="AG59" s="12">
        <v>150</v>
      </c>
      <c r="AH59" s="30">
        <f>AG59/AG$19</f>
        <v>1.6121445193928284E-4</v>
      </c>
      <c r="AI59" s="12">
        <v>150</v>
      </c>
      <c r="AJ59" s="30">
        <f>AI59/AI$19</f>
        <v>2.0532237312650113E-4</v>
      </c>
      <c r="AK59" s="12">
        <v>150</v>
      </c>
      <c r="AL59" s="30">
        <f>AK59/AK$19</f>
        <v>1.9217753489817198E-4</v>
      </c>
      <c r="AM59" s="31"/>
      <c r="AN59" s="12">
        <v>150</v>
      </c>
      <c r="AO59" s="30">
        <f>AN59/AN$19</f>
        <v>1.9217753489817198E-4</v>
      </c>
      <c r="AP59" s="12">
        <v>150</v>
      </c>
      <c r="AQ59" s="30">
        <f>AP59/AP$19</f>
        <v>1.9217753489817198E-4</v>
      </c>
      <c r="AR59" s="12">
        <v>150</v>
      </c>
      <c r="AS59" s="30">
        <f>AR59/AR$19</f>
        <v>1.9217753489817198E-4</v>
      </c>
      <c r="AT59" s="12">
        <v>150</v>
      </c>
      <c r="AU59" s="30">
        <f>AT59/AT$19</f>
        <v>1.8061450632427477E-4</v>
      </c>
      <c r="AV59" s="12">
        <v>150</v>
      </c>
      <c r="AW59" s="30">
        <f>AV59/AV$19</f>
        <v>1.8061450632427477E-4</v>
      </c>
      <c r="AX59" s="12">
        <v>150</v>
      </c>
      <c r="AY59" s="30">
        <f>AX59/AX$19</f>
        <v>1.7533954994798165E-4</v>
      </c>
      <c r="AZ59" s="12">
        <v>150</v>
      </c>
      <c r="BA59" s="30">
        <f>AZ59/AZ$19</f>
        <v>1.7533954994798165E-4</v>
      </c>
      <c r="BB59" s="84">
        <f t="shared" si="2"/>
        <v>1800.002173485761</v>
      </c>
      <c r="BC59" s="30">
        <f>BB59/BB$19</f>
        <v>1.8010876890359436E-4</v>
      </c>
    </row>
    <row r="60" spans="1:55" s="13" customFormat="1" ht="11" hidden="1" outlineLevel="1" x14ac:dyDescent="0.15">
      <c r="A60" s="3" t="s">
        <v>77</v>
      </c>
      <c r="B60" s="3"/>
      <c r="C60" s="12">
        <f>15600/12</f>
        <v>1300</v>
      </c>
      <c r="D60" s="30">
        <f>C60/C$19</f>
        <v>1.5476974442063373E-3</v>
      </c>
      <c r="E60" s="12">
        <v>1300</v>
      </c>
      <c r="F60" s="30">
        <f>E60/E$19</f>
        <v>1.4704612614632158E-3</v>
      </c>
      <c r="G60" s="12">
        <v>1300</v>
      </c>
      <c r="H60" s="30">
        <f>G60/G$19</f>
        <v>1.4300229284013248E-3</v>
      </c>
      <c r="I60" s="12">
        <v>1300</v>
      </c>
      <c r="J60" s="30">
        <f>I60/I$19</f>
        <v>1.7680620486948606E-3</v>
      </c>
      <c r="K60" s="12">
        <v>1300</v>
      </c>
      <c r="L60" s="30">
        <f>K60/K$19</f>
        <v>1.6694055231175559E-3</v>
      </c>
      <c r="M60" s="12">
        <v>1300</v>
      </c>
      <c r="N60" s="30">
        <f>M60/M$19</f>
        <v>1.6694055231175559E-3</v>
      </c>
      <c r="O60" s="12">
        <v>1300</v>
      </c>
      <c r="P60" s="30">
        <f>O60/O$19</f>
        <v>1.6694055231175559E-3</v>
      </c>
      <c r="Q60" s="12">
        <v>1300</v>
      </c>
      <c r="R60" s="30">
        <f>Q60/Q$19</f>
        <v>1.6694055231175559E-3</v>
      </c>
      <c r="S60" s="12">
        <v>1300</v>
      </c>
      <c r="T60" s="30">
        <f>S60/S$19</f>
        <v>1.5811770397455747E-3</v>
      </c>
      <c r="U60" s="12">
        <v>1300</v>
      </c>
      <c r="V60" s="30">
        <f>U60/U$19</f>
        <v>1.5811770397455747E-3</v>
      </c>
      <c r="W60" s="12">
        <v>1300</v>
      </c>
      <c r="X60" s="30">
        <f>W60/W$19</f>
        <v>1.5404699364413574E-3</v>
      </c>
      <c r="Y60" s="12">
        <v>1300</v>
      </c>
      <c r="Z60" s="30">
        <f>Y60/Y$19</f>
        <v>1.5404699364413574E-3</v>
      </c>
      <c r="AA60" s="29">
        <f t="shared" si="104"/>
        <v>15600.01759668979</v>
      </c>
      <c r="AB60" s="30">
        <f t="shared" si="105"/>
        <v>1.5893406156305566E-3</v>
      </c>
      <c r="AC60" s="12">
        <v>1300</v>
      </c>
      <c r="AD60" s="30">
        <f>AC60/AC$19</f>
        <v>1.4310073427364432E-3</v>
      </c>
      <c r="AE60" s="12">
        <v>1300</v>
      </c>
      <c r="AF60" s="30">
        <f>AE60/AE$19</f>
        <v>1.3971919168071177E-3</v>
      </c>
      <c r="AG60" s="12">
        <v>1300</v>
      </c>
      <c r="AH60" s="30">
        <f>AG60/AG$19</f>
        <v>1.3971919168071177E-3</v>
      </c>
      <c r="AI60" s="12">
        <v>1300</v>
      </c>
      <c r="AJ60" s="30">
        <f>AI60/AI$19</f>
        <v>1.779460567096343E-3</v>
      </c>
      <c r="AK60" s="12">
        <v>1300</v>
      </c>
      <c r="AL60" s="30">
        <f>AK60/AK$19</f>
        <v>1.6655386357841571E-3</v>
      </c>
      <c r="AM60" s="31"/>
      <c r="AN60" s="12">
        <v>1300</v>
      </c>
      <c r="AO60" s="30">
        <f>AN60/AN$19</f>
        <v>1.6655386357841571E-3</v>
      </c>
      <c r="AP60" s="12">
        <v>1300</v>
      </c>
      <c r="AQ60" s="30">
        <f>AP60/AP$19</f>
        <v>1.6655386357841571E-3</v>
      </c>
      <c r="AR60" s="12">
        <v>1300</v>
      </c>
      <c r="AS60" s="30">
        <f>AR60/AR$19</f>
        <v>1.6655386357841571E-3</v>
      </c>
      <c r="AT60" s="12">
        <v>1300</v>
      </c>
      <c r="AU60" s="30">
        <f>AT60/AT$19</f>
        <v>1.565325721477048E-3</v>
      </c>
      <c r="AV60" s="12">
        <v>1300</v>
      </c>
      <c r="AW60" s="30">
        <f>AV60/AV$19</f>
        <v>1.565325721477048E-3</v>
      </c>
      <c r="AX60" s="12">
        <v>1300</v>
      </c>
      <c r="AY60" s="30">
        <f>AX60/AX$19</f>
        <v>1.5196094328825077E-3</v>
      </c>
      <c r="AZ60" s="12">
        <v>1300</v>
      </c>
      <c r="BA60" s="30">
        <f>AZ60/AZ$19</f>
        <v>1.5196094328825077E-3</v>
      </c>
      <c r="BB60" s="84">
        <f t="shared" si="2"/>
        <v>15600.018836876598</v>
      </c>
      <c r="BC60" s="30">
        <f>BB60/BB$19</f>
        <v>1.5609426638311513E-3</v>
      </c>
    </row>
    <row r="61" spans="1:55" s="13" customFormat="1" ht="11" hidden="1" outlineLevel="1" x14ac:dyDescent="0.15">
      <c r="A61" s="3" t="s">
        <v>13</v>
      </c>
      <c r="B61" s="3"/>
      <c r="C61" s="12">
        <v>1200</v>
      </c>
      <c r="D61" s="30">
        <f>C61/$C$19</f>
        <v>1.4286437946520038E-3</v>
      </c>
      <c r="E61" s="12">
        <v>1200</v>
      </c>
      <c r="F61" s="30">
        <f>E61/$E$19</f>
        <v>1.357348856735276E-3</v>
      </c>
      <c r="G61" s="12">
        <v>1200</v>
      </c>
      <c r="H61" s="30">
        <f>G61/$G$19</f>
        <v>1.3200211646781459E-3</v>
      </c>
      <c r="I61" s="12">
        <v>1200</v>
      </c>
      <c r="J61" s="30">
        <f>I61/$I$19</f>
        <v>1.6320572757183328E-3</v>
      </c>
      <c r="K61" s="12">
        <v>1200</v>
      </c>
      <c r="L61" s="30">
        <f>K61/$K$19</f>
        <v>1.5409897136469746E-3</v>
      </c>
      <c r="M61" s="12">
        <v>1200</v>
      </c>
      <c r="N61" s="30">
        <f>M61/$M$19</f>
        <v>1.5409897136469746E-3</v>
      </c>
      <c r="O61" s="12">
        <v>1200</v>
      </c>
      <c r="P61" s="30">
        <f>O61/$O$19</f>
        <v>1.5409897136469746E-3</v>
      </c>
      <c r="Q61" s="12">
        <v>1200</v>
      </c>
      <c r="R61" s="30">
        <f>Q61/$Q$19</f>
        <v>1.5409897136469746E-3</v>
      </c>
      <c r="S61" s="12">
        <v>1200</v>
      </c>
      <c r="T61" s="30">
        <f>S61/$S$19</f>
        <v>1.4595480366882227E-3</v>
      </c>
      <c r="U61" s="12">
        <v>1200</v>
      </c>
      <c r="V61" s="30">
        <f>U61/$U$19</f>
        <v>1.4595480366882227E-3</v>
      </c>
      <c r="W61" s="12">
        <v>1200</v>
      </c>
      <c r="X61" s="30">
        <f>W61/$W$19</f>
        <v>1.4219722490227916E-3</v>
      </c>
      <c r="Y61" s="12">
        <v>1200</v>
      </c>
      <c r="Z61" s="30">
        <f>Y61/$Y$19</f>
        <v>1.4219722490227916E-3</v>
      </c>
      <c r="AA61" s="29">
        <f t="shared" si="104"/>
        <v>14400.016243098267</v>
      </c>
      <c r="AB61" s="30">
        <f t="shared" si="105"/>
        <v>1.467083645197437E-3</v>
      </c>
      <c r="AC61" s="12">
        <v>1200</v>
      </c>
      <c r="AD61" s="30">
        <f>AC61/$AC$19</f>
        <v>1.3209298548336398E-3</v>
      </c>
      <c r="AE61" s="12">
        <v>1200</v>
      </c>
      <c r="AF61" s="30">
        <f>AE61/$AE$19</f>
        <v>1.2897156155142627E-3</v>
      </c>
      <c r="AG61" s="12">
        <v>1200</v>
      </c>
      <c r="AH61" s="30">
        <f>AG61/$AG$19</f>
        <v>1.2897156155142627E-3</v>
      </c>
      <c r="AI61" s="12">
        <v>1200</v>
      </c>
      <c r="AJ61" s="30">
        <f>AI61/$AI$19</f>
        <v>1.642578985012009E-3</v>
      </c>
      <c r="AK61" s="12">
        <v>1200</v>
      </c>
      <c r="AL61" s="30">
        <f>AK61/$AK$19</f>
        <v>1.5374202791853758E-3</v>
      </c>
      <c r="AM61" s="31">
        <v>4.9232940806202248E-3</v>
      </c>
      <c r="AN61" s="12">
        <v>1200</v>
      </c>
      <c r="AO61" s="30">
        <f>AN61/$AN$19</f>
        <v>1.5374202791853758E-3</v>
      </c>
      <c r="AP61" s="12">
        <v>1200</v>
      </c>
      <c r="AQ61" s="30">
        <f>AP61/$AP$19</f>
        <v>1.5374202791853758E-3</v>
      </c>
      <c r="AR61" s="12">
        <v>1200</v>
      </c>
      <c r="AS61" s="30">
        <f>AR61/$AR$19</f>
        <v>1.5374202791853758E-3</v>
      </c>
      <c r="AT61" s="12">
        <v>1200</v>
      </c>
      <c r="AU61" s="30">
        <f>AT61/$AT$19</f>
        <v>1.4449160505941982E-3</v>
      </c>
      <c r="AV61" s="12">
        <v>1200</v>
      </c>
      <c r="AW61" s="30">
        <f>AV61/$AV$19</f>
        <v>1.4449160505941982E-3</v>
      </c>
      <c r="AX61" s="12">
        <v>1200</v>
      </c>
      <c r="AY61" s="30">
        <f>AX61/$AX$19</f>
        <v>1.4027163995838532E-3</v>
      </c>
      <c r="AZ61" s="12">
        <v>1200</v>
      </c>
      <c r="BA61" s="30">
        <f>AZ61/$AZ$19</f>
        <v>1.4027163995838532E-3</v>
      </c>
      <c r="BB61" s="84">
        <f t="shared" si="2"/>
        <v>14400.02231118017</v>
      </c>
      <c r="BC61" s="30">
        <f>BB61/$BB$19</f>
        <v>1.440870643855069E-3</v>
      </c>
    </row>
    <row r="62" spans="1:55" s="13" customFormat="1" ht="11" hidden="1" outlineLevel="1" x14ac:dyDescent="0.15">
      <c r="A62" s="3" t="s">
        <v>12</v>
      </c>
      <c r="B62" s="3"/>
      <c r="C62" s="12">
        <v>500</v>
      </c>
      <c r="D62" s="30">
        <f>C62/$C$19</f>
        <v>5.9526824777166823E-4</v>
      </c>
      <c r="E62" s="12">
        <v>500</v>
      </c>
      <c r="F62" s="30">
        <f>E62/$E$19</f>
        <v>5.6556202363969841E-4</v>
      </c>
      <c r="G62" s="12">
        <v>500</v>
      </c>
      <c r="H62" s="30">
        <f>G62/$G$19</f>
        <v>5.5000881861589409E-4</v>
      </c>
      <c r="I62" s="12">
        <v>500</v>
      </c>
      <c r="J62" s="30">
        <f>I62/$I$19</f>
        <v>6.8002386488263868E-4</v>
      </c>
      <c r="K62" s="12">
        <v>500</v>
      </c>
      <c r="L62" s="30">
        <f>K62/$K$19</f>
        <v>6.4207904735290604E-4</v>
      </c>
      <c r="M62" s="12">
        <v>500</v>
      </c>
      <c r="N62" s="30">
        <f>M62/$M$19</f>
        <v>6.4207904735290604E-4</v>
      </c>
      <c r="O62" s="12">
        <v>500</v>
      </c>
      <c r="P62" s="30">
        <f>O62/$O$19</f>
        <v>6.4207904735290604E-4</v>
      </c>
      <c r="Q62" s="12">
        <v>500</v>
      </c>
      <c r="R62" s="30">
        <f>Q62/$Q$19</f>
        <v>6.4207904735290604E-4</v>
      </c>
      <c r="S62" s="12">
        <v>500</v>
      </c>
      <c r="T62" s="30">
        <f>S62/$S$19</f>
        <v>6.0814501528675942E-4</v>
      </c>
      <c r="U62" s="12">
        <v>500</v>
      </c>
      <c r="V62" s="30">
        <f>U62/$U$19</f>
        <v>6.0814501528675942E-4</v>
      </c>
      <c r="W62" s="12">
        <v>500</v>
      </c>
      <c r="X62" s="30">
        <f>W62/$W$19</f>
        <v>5.9248843709282977E-4</v>
      </c>
      <c r="Y62" s="12">
        <v>500</v>
      </c>
      <c r="Z62" s="30">
        <f>Y62/$Y$19</f>
        <v>5.9248843709282977E-4</v>
      </c>
      <c r="AA62" s="29">
        <f t="shared" si="104"/>
        <v>6000.0067679576123</v>
      </c>
      <c r="AB62" s="30">
        <f t="shared" si="105"/>
        <v>6.1128485216559885E-4</v>
      </c>
      <c r="AC62" s="12">
        <v>200</v>
      </c>
      <c r="AD62" s="30">
        <f>AC62/$AC$19</f>
        <v>2.2015497580560664E-4</v>
      </c>
      <c r="AE62" s="12">
        <v>200</v>
      </c>
      <c r="AF62" s="30">
        <f>AE62/$AE$19</f>
        <v>2.1495260258571044E-4</v>
      </c>
      <c r="AG62" s="12">
        <v>200</v>
      </c>
      <c r="AH62" s="30">
        <f>AG62/$AG$19</f>
        <v>2.1495260258571044E-4</v>
      </c>
      <c r="AI62" s="12">
        <v>200</v>
      </c>
      <c r="AJ62" s="30">
        <f>AI62/$AI$19</f>
        <v>2.7376316416866819E-4</v>
      </c>
      <c r="AK62" s="12">
        <v>200</v>
      </c>
      <c r="AL62" s="30">
        <f>AK62/$AK$19</f>
        <v>2.5623671319756266E-4</v>
      </c>
      <c r="AM62" s="31">
        <v>9.2406442743948837E-4</v>
      </c>
      <c r="AN62" s="12">
        <v>200</v>
      </c>
      <c r="AO62" s="30">
        <f>AN62/$AN$19</f>
        <v>2.5623671319756266E-4</v>
      </c>
      <c r="AP62" s="12">
        <v>200</v>
      </c>
      <c r="AQ62" s="30">
        <f>AP62/$AP$19</f>
        <v>2.5623671319756266E-4</v>
      </c>
      <c r="AR62" s="12">
        <v>200</v>
      </c>
      <c r="AS62" s="30">
        <f>AR62/$AR$19</f>
        <v>2.5623671319756266E-4</v>
      </c>
      <c r="AT62" s="12">
        <v>200</v>
      </c>
      <c r="AU62" s="30">
        <f>AT62/$AT$19</f>
        <v>2.4081934176569967E-4</v>
      </c>
      <c r="AV62" s="12">
        <v>200</v>
      </c>
      <c r="AW62" s="30">
        <f>AV62/$AV$19</f>
        <v>2.4081934176569967E-4</v>
      </c>
      <c r="AX62" s="12">
        <v>200</v>
      </c>
      <c r="AY62" s="30">
        <f>AX62/$AX$19</f>
        <v>2.3378606659730887E-4</v>
      </c>
      <c r="AZ62" s="12">
        <v>200</v>
      </c>
      <c r="BA62" s="30">
        <f>AZ62/$AZ$19</f>
        <v>2.3378606659730887E-4</v>
      </c>
      <c r="BB62" s="84">
        <f t="shared" si="2"/>
        <v>2400.0038220454417</v>
      </c>
      <c r="BC62" s="30">
        <f>BB62/$BB$19</f>
        <v>2.4014511766696212E-4</v>
      </c>
    </row>
    <row r="63" spans="1:55" s="13" customFormat="1" ht="11" hidden="1" outlineLevel="1" x14ac:dyDescent="0.15">
      <c r="A63" s="3" t="s">
        <v>122</v>
      </c>
      <c r="B63" s="3"/>
      <c r="C63" s="12">
        <v>160</v>
      </c>
      <c r="D63" s="30">
        <f>C63/$C$19</f>
        <v>1.9048583928693382E-4</v>
      </c>
      <c r="E63" s="12">
        <v>160</v>
      </c>
      <c r="F63" s="30">
        <f>E63/$E$19</f>
        <v>1.8097984756470348E-4</v>
      </c>
      <c r="G63" s="12">
        <v>160</v>
      </c>
      <c r="H63" s="30">
        <f>G63/$G$19</f>
        <v>1.7600282195708611E-4</v>
      </c>
      <c r="I63" s="12">
        <v>160</v>
      </c>
      <c r="J63" s="30">
        <f>I63/$I$19</f>
        <v>2.1760763676244437E-4</v>
      </c>
      <c r="K63" s="12">
        <v>160</v>
      </c>
      <c r="L63" s="30">
        <f>K63/$K$19</f>
        <v>2.0546529515292995E-4</v>
      </c>
      <c r="M63" s="12">
        <v>160</v>
      </c>
      <c r="N63" s="30">
        <f>M63/$M$19</f>
        <v>2.0546529515292995E-4</v>
      </c>
      <c r="O63" s="12">
        <v>160</v>
      </c>
      <c r="P63" s="30">
        <f>O63/$O$19</f>
        <v>2.0546529515292995E-4</v>
      </c>
      <c r="Q63" s="12">
        <v>160</v>
      </c>
      <c r="R63" s="30">
        <f>Q63/$Q$19</f>
        <v>2.0546529515292995E-4</v>
      </c>
      <c r="S63" s="12">
        <v>160</v>
      </c>
      <c r="T63" s="30">
        <f>S63/$S$19</f>
        <v>1.9460640489176302E-4</v>
      </c>
      <c r="U63" s="12">
        <v>160</v>
      </c>
      <c r="V63" s="30">
        <f>U63/$U$19</f>
        <v>1.9460640489176302E-4</v>
      </c>
      <c r="W63" s="12">
        <v>160</v>
      </c>
      <c r="X63" s="30">
        <f>W63/$W$19</f>
        <v>1.8959629986970553E-4</v>
      </c>
      <c r="Y63" s="12">
        <v>160</v>
      </c>
      <c r="Z63" s="30">
        <f>Y63/$Y$19</f>
        <v>1.8959629986970553E-4</v>
      </c>
      <c r="AA63" s="29">
        <f t="shared" si="104"/>
        <v>1920.002165746436</v>
      </c>
      <c r="AB63" s="30">
        <f t="shared" si="105"/>
        <v>1.9561115269299163E-4</v>
      </c>
      <c r="AC63" s="12">
        <v>160</v>
      </c>
      <c r="AD63" s="30">
        <f>AC63/$AC$19</f>
        <v>1.761239806444853E-4</v>
      </c>
      <c r="AE63" s="12">
        <v>160</v>
      </c>
      <c r="AF63" s="30">
        <f>AE63/$AE$19</f>
        <v>1.7196208206856834E-4</v>
      </c>
      <c r="AG63" s="12">
        <v>160</v>
      </c>
      <c r="AH63" s="30">
        <f>AG63/$AG$19</f>
        <v>1.7196208206856834E-4</v>
      </c>
      <c r="AI63" s="12">
        <v>160</v>
      </c>
      <c r="AJ63" s="30">
        <f>AI63/$AI$19</f>
        <v>2.1901053133493452E-4</v>
      </c>
      <c r="AK63" s="12">
        <v>160</v>
      </c>
      <c r="AL63" s="30">
        <f>AK63/$AK$19</f>
        <v>2.049893705580501E-4</v>
      </c>
      <c r="AM63" s="31"/>
      <c r="AN63" s="12">
        <v>160</v>
      </c>
      <c r="AO63" s="30">
        <f>AN63/$AN$19</f>
        <v>2.049893705580501E-4</v>
      </c>
      <c r="AP63" s="12">
        <v>160</v>
      </c>
      <c r="AQ63" s="30">
        <f>AP63/$AP$19</f>
        <v>2.049893705580501E-4</v>
      </c>
      <c r="AR63" s="12">
        <v>160</v>
      </c>
      <c r="AS63" s="30">
        <f>AR63/$AR$19</f>
        <v>2.049893705580501E-4</v>
      </c>
      <c r="AT63" s="12">
        <v>160</v>
      </c>
      <c r="AU63" s="30">
        <f>AT63/$AT$19</f>
        <v>1.9265547341255974E-4</v>
      </c>
      <c r="AV63" s="12">
        <v>160</v>
      </c>
      <c r="AW63" s="30">
        <f>AV63/$AV$19</f>
        <v>1.9265547341255974E-4</v>
      </c>
      <c r="AX63" s="12">
        <v>160</v>
      </c>
      <c r="AY63" s="30">
        <f>AX63/$AX$19</f>
        <v>1.8702885327784711E-4</v>
      </c>
      <c r="AZ63" s="12">
        <v>160</v>
      </c>
      <c r="BA63" s="30">
        <f>AZ63/$AZ$19</f>
        <v>1.8702885327784711E-4</v>
      </c>
      <c r="BB63" s="84">
        <f t="shared" si="2"/>
        <v>1920.002318384812</v>
      </c>
      <c r="BC63" s="30">
        <f>BB63/$BB$19</f>
        <v>1.9211602016383402E-4</v>
      </c>
    </row>
    <row r="64" spans="1:55" s="13" customFormat="1" ht="11" hidden="1" outlineLevel="1" x14ac:dyDescent="0.15">
      <c r="A64" s="3" t="s">
        <v>72</v>
      </c>
      <c r="B64" s="3"/>
      <c r="C64" s="12">
        <v>2500</v>
      </c>
      <c r="D64" s="30">
        <f>C64/$C$19</f>
        <v>2.9763412388583411E-3</v>
      </c>
      <c r="E64" s="12">
        <v>2500</v>
      </c>
      <c r="F64" s="30">
        <f>E64/$E$19</f>
        <v>2.8278101181984918E-3</v>
      </c>
      <c r="G64" s="12">
        <v>2500</v>
      </c>
      <c r="H64" s="30">
        <f>G64/$G$19</f>
        <v>2.7500440930794704E-3</v>
      </c>
      <c r="I64" s="12">
        <v>2500</v>
      </c>
      <c r="J64" s="30">
        <f>I64/$I$19</f>
        <v>3.4001193244131934E-3</v>
      </c>
      <c r="K64" s="12">
        <v>2500</v>
      </c>
      <c r="L64" s="30">
        <f>K64/$K$19</f>
        <v>3.2103952367645303E-3</v>
      </c>
      <c r="M64" s="12">
        <v>2500</v>
      </c>
      <c r="N64" s="30">
        <f>M64/$M$19</f>
        <v>3.2103952367645303E-3</v>
      </c>
      <c r="O64" s="12">
        <v>2500</v>
      </c>
      <c r="P64" s="30">
        <f>O64/$O$19</f>
        <v>3.2103952367645303E-3</v>
      </c>
      <c r="Q64" s="12">
        <v>2500</v>
      </c>
      <c r="R64" s="30">
        <f>Q64/$Q$19</f>
        <v>3.2103952367645303E-3</v>
      </c>
      <c r="S64" s="12">
        <v>2500</v>
      </c>
      <c r="T64" s="30">
        <f>S64/$S$19</f>
        <v>3.0407250764337974E-3</v>
      </c>
      <c r="U64" s="12">
        <v>2500</v>
      </c>
      <c r="V64" s="30">
        <f>U64/$U$19</f>
        <v>3.0407250764337974E-3</v>
      </c>
      <c r="W64" s="12">
        <v>2500</v>
      </c>
      <c r="X64" s="30">
        <f>W64/$W$19</f>
        <v>2.9624421854641493E-3</v>
      </c>
      <c r="Y64" s="12">
        <v>2500</v>
      </c>
      <c r="Z64" s="30">
        <f>Y64/$Y$19</f>
        <v>2.9624421854641493E-3</v>
      </c>
      <c r="AA64" s="29">
        <f t="shared" si="104"/>
        <v>30000.033839788059</v>
      </c>
      <c r="AB64" s="30">
        <f t="shared" si="105"/>
        <v>3.0564242608279936E-3</v>
      </c>
      <c r="AC64" s="12">
        <v>2500</v>
      </c>
      <c r="AD64" s="30">
        <f>AC64/$AC$19</f>
        <v>2.751937197570083E-3</v>
      </c>
      <c r="AE64" s="12">
        <v>2500</v>
      </c>
      <c r="AF64" s="30">
        <f>AE64/$AE$19</f>
        <v>2.6869075323213802E-3</v>
      </c>
      <c r="AG64" s="12">
        <v>2500</v>
      </c>
      <c r="AH64" s="30">
        <f>AG64/$AG$19</f>
        <v>2.6869075323213802E-3</v>
      </c>
      <c r="AI64" s="12">
        <v>2500</v>
      </c>
      <c r="AJ64" s="30">
        <f>AI64/$AI$19</f>
        <v>3.4220395521083521E-3</v>
      </c>
      <c r="AK64" s="12">
        <v>2500</v>
      </c>
      <c r="AL64" s="30">
        <f>AK64/$AK$19</f>
        <v>3.202958914969533E-3</v>
      </c>
      <c r="AM64" s="31">
        <v>0</v>
      </c>
      <c r="AN64" s="12">
        <v>2500</v>
      </c>
      <c r="AO64" s="30">
        <f>AN64/$AN$19</f>
        <v>3.202958914969533E-3</v>
      </c>
      <c r="AP64" s="12">
        <v>2500</v>
      </c>
      <c r="AQ64" s="30">
        <f>AP64/$AP$19</f>
        <v>3.202958914969533E-3</v>
      </c>
      <c r="AR64" s="12">
        <v>2500</v>
      </c>
      <c r="AS64" s="30">
        <f>AR64/$AR$19</f>
        <v>3.202958914969533E-3</v>
      </c>
      <c r="AT64" s="12">
        <v>2500</v>
      </c>
      <c r="AU64" s="30">
        <f>AT64/$AT$19</f>
        <v>3.0102417720712462E-3</v>
      </c>
      <c r="AV64" s="12">
        <v>2500</v>
      </c>
      <c r="AW64" s="30">
        <f>AV64/$AV$19</f>
        <v>3.0102417720712462E-3</v>
      </c>
      <c r="AX64" s="12">
        <v>2500</v>
      </c>
      <c r="AY64" s="30">
        <f>AX64/$AX$19</f>
        <v>2.922325832466361E-3</v>
      </c>
      <c r="AZ64" s="12">
        <v>2500</v>
      </c>
      <c r="BA64" s="30">
        <f>AZ64/$AZ$19</f>
        <v>2.922325832466361E-3</v>
      </c>
      <c r="BB64" s="84">
        <f t="shared" si="2"/>
        <v>30000.036224762687</v>
      </c>
      <c r="BC64" s="30">
        <f>BB64/$BB$19</f>
        <v>3.0018128150599063E-3</v>
      </c>
    </row>
    <row r="65" spans="1:55" s="13" customFormat="1" ht="11" collapsed="1" x14ac:dyDescent="0.15">
      <c r="A65" s="13" t="s">
        <v>157</v>
      </c>
      <c r="C65" s="89">
        <f>SUM(C56:C64)</f>
        <v>41076.666666666664</v>
      </c>
      <c r="D65" s="30">
        <f>C65/C$19</f>
        <v>4.8903270781935113E-2</v>
      </c>
      <c r="E65" s="89">
        <f>SUM(E56:E64)</f>
        <v>41077</v>
      </c>
      <c r="F65" s="30">
        <f>E65/E$19</f>
        <v>4.6463182490095782E-2</v>
      </c>
      <c r="G65" s="89">
        <f>SUM(G56:G64)</f>
        <v>41077</v>
      </c>
      <c r="H65" s="30">
        <f>G65/G$19</f>
        <v>4.5185424484570164E-2</v>
      </c>
      <c r="I65" s="89">
        <f>SUM(I56:I64)</f>
        <v>41077</v>
      </c>
      <c r="J65" s="30">
        <f>I65/I$19</f>
        <v>5.5866680595568298E-2</v>
      </c>
      <c r="K65" s="89">
        <f>SUM(K56:K64)</f>
        <v>41077</v>
      </c>
      <c r="L65" s="30">
        <f>K65/K$19</f>
        <v>5.2749362056230646E-2</v>
      </c>
      <c r="M65" s="89">
        <f>SUM(M56:M64)</f>
        <v>41077</v>
      </c>
      <c r="N65" s="30">
        <f>M65/M$19</f>
        <v>5.2749362056230646E-2</v>
      </c>
      <c r="O65" s="89">
        <f>SUM(O56:O64)</f>
        <v>41077</v>
      </c>
      <c r="P65" s="30">
        <f>O65/O$19</f>
        <v>5.2749362056230646E-2</v>
      </c>
      <c r="Q65" s="89">
        <f>SUM(Q56:Q64)</f>
        <v>41077</v>
      </c>
      <c r="R65" s="30">
        <f>Q65/Q$19</f>
        <v>5.2749362056230646E-2</v>
      </c>
      <c r="S65" s="89">
        <f>SUM(S56:S64)</f>
        <v>41077</v>
      </c>
      <c r="T65" s="30">
        <f>S65/S$19</f>
        <v>4.996154558586844E-2</v>
      </c>
      <c r="U65" s="89">
        <f>SUM(U56:U64)</f>
        <v>41077</v>
      </c>
      <c r="V65" s="30">
        <f>U65/U$19</f>
        <v>4.996154558586844E-2</v>
      </c>
      <c r="W65" s="89">
        <f>SUM(W56:W64)</f>
        <v>41077</v>
      </c>
      <c r="X65" s="30">
        <f>W65/W$19</f>
        <v>4.8675295060924342E-2</v>
      </c>
      <c r="Y65" s="89">
        <f>SUM(Y56:Y64)</f>
        <v>41077</v>
      </c>
      <c r="Z65" s="30">
        <f>Y65/Y$19</f>
        <v>4.8675295060924342E-2</v>
      </c>
      <c r="AA65" s="89">
        <f>SUM(AA56:AA64)</f>
        <v>492924.22268105939</v>
      </c>
      <c r="AB65" s="30">
        <f>AA65/AA$19</f>
        <v>5.0219461784540904E-2</v>
      </c>
      <c r="AC65" s="11">
        <f>SUM(AC56:AC64)</f>
        <v>98025.16889999999</v>
      </c>
      <c r="AD65" s="30">
        <f>AC65/AC$19</f>
        <v>0.10790364343760001</v>
      </c>
      <c r="AE65" s="11">
        <f>SUM(AE56:AE64)</f>
        <v>100030.2951</v>
      </c>
      <c r="AF65" s="30">
        <f>AE65/AE$19</f>
        <v>0.10750886134580818</v>
      </c>
      <c r="AG65" s="11">
        <f>SUM(AG56:AG64)</f>
        <v>100030.2951</v>
      </c>
      <c r="AH65" s="30">
        <f>AG65/AG$19</f>
        <v>0.10750886134580818</v>
      </c>
      <c r="AI65" s="11">
        <f>SUM(AI56:AI64)</f>
        <v>81801.87509999999</v>
      </c>
      <c r="AJ65" s="30">
        <f>AI65/AI$19</f>
        <v>0.11197170081153093</v>
      </c>
      <c r="AK65" s="11">
        <f>SUM(AK56:AK64)</f>
        <v>86358.980100000001</v>
      </c>
      <c r="AL65" s="30">
        <f>AK65/AK$19</f>
        <v>0.11064170607958859</v>
      </c>
      <c r="AM65" s="31"/>
      <c r="AN65" s="11">
        <f>SUM(AN56:AN64)</f>
        <v>86358.980100000001</v>
      </c>
      <c r="AO65" s="30">
        <f>AN65/AN$19</f>
        <v>0.11064170607958859</v>
      </c>
      <c r="AP65" s="11">
        <f>SUM(AP56:AP64)</f>
        <v>86358.980100000001</v>
      </c>
      <c r="AQ65" s="30">
        <f>AP65/AP$19</f>
        <v>0.11064170607958859</v>
      </c>
      <c r="AR65" s="11">
        <f>SUM(AR56:AR64)</f>
        <v>86358.980100000001</v>
      </c>
      <c r="AS65" s="30">
        <f>AR65/AR$19</f>
        <v>0.11064170607958859</v>
      </c>
      <c r="AT65" s="11">
        <f>SUM(AT56:AT64)</f>
        <v>90916.085099999997</v>
      </c>
      <c r="AU65" s="30">
        <f>AT65/AT$19</f>
        <v>0.10947175884848168</v>
      </c>
      <c r="AV65" s="11">
        <f>SUM(AV56:AV64)</f>
        <v>90916.085099999997</v>
      </c>
      <c r="AW65" s="30">
        <f>AV65/AV$19</f>
        <v>0.10947175884848168</v>
      </c>
      <c r="AX65" s="11">
        <f>SUM(AX56:AX64)</f>
        <v>93194.637600000002</v>
      </c>
      <c r="AY65" s="30">
        <f>AX65/AX$19</f>
        <v>0.10893803876232833</v>
      </c>
      <c r="AZ65" s="11">
        <f>SUM(AZ56:AZ64)</f>
        <v>93194.637600000002</v>
      </c>
      <c r="BA65" s="30">
        <f>AZ65/AZ$19</f>
        <v>0.10893803876232833</v>
      </c>
      <c r="BB65" s="84">
        <f t="shared" si="2"/>
        <v>1093546.3142794864</v>
      </c>
      <c r="BC65" s="30">
        <f>BB65/BB$19</f>
        <v>0.10942057921103918</v>
      </c>
    </row>
    <row r="66" spans="1:55" s="13" customFormat="1" ht="11" hidden="1" x14ac:dyDescent="0.15">
      <c r="C66" s="11"/>
      <c r="D66" s="20"/>
      <c r="F66" s="20"/>
      <c r="H66" s="20"/>
      <c r="J66" s="20"/>
      <c r="L66" s="20"/>
      <c r="N66" s="20"/>
      <c r="P66" s="20"/>
      <c r="R66" s="20"/>
      <c r="T66" s="20"/>
      <c r="V66" s="20"/>
      <c r="X66" s="20"/>
      <c r="Z66" s="20"/>
      <c r="AA66" s="29"/>
      <c r="AB66" s="20"/>
      <c r="AD66" s="20"/>
      <c r="AF66" s="20"/>
      <c r="AH66" s="20"/>
      <c r="AJ66" s="20"/>
      <c r="AL66" s="20"/>
      <c r="AM66" s="31"/>
      <c r="AO66" s="20"/>
      <c r="AQ66" s="20"/>
      <c r="AS66" s="20"/>
      <c r="AU66" s="20"/>
      <c r="AW66" s="20"/>
      <c r="AY66" s="20"/>
      <c r="BA66" s="20"/>
      <c r="BB66" s="84"/>
      <c r="BC66" s="20"/>
    </row>
    <row r="67" spans="1:55" s="13" customFormat="1" ht="11" hidden="1" x14ac:dyDescent="0.15">
      <c r="A67" s="3" t="s">
        <v>130</v>
      </c>
      <c r="B67" s="3"/>
      <c r="C67" s="12"/>
      <c r="D67" s="30"/>
      <c r="E67" s="12"/>
      <c r="F67" s="30"/>
      <c r="G67" s="12"/>
      <c r="H67" s="30"/>
      <c r="I67" s="12"/>
      <c r="J67" s="30"/>
      <c r="K67" s="12"/>
      <c r="L67" s="30"/>
      <c r="M67" s="12"/>
      <c r="N67" s="30"/>
      <c r="O67" s="12"/>
      <c r="P67" s="30"/>
      <c r="Q67" s="12"/>
      <c r="R67" s="30"/>
      <c r="S67" s="12"/>
      <c r="T67" s="30"/>
      <c r="U67" s="12"/>
      <c r="V67" s="30"/>
      <c r="W67" s="12"/>
      <c r="X67" s="30"/>
      <c r="Y67" s="12"/>
      <c r="Z67" s="30"/>
      <c r="AA67" s="29"/>
      <c r="AB67" s="30">
        <f>AA67/$AA$19</f>
        <v>0</v>
      </c>
      <c r="AC67" s="12"/>
      <c r="AD67" s="30">
        <f>AC67/AC$19</f>
        <v>0</v>
      </c>
      <c r="AE67" s="12"/>
      <c r="AF67" s="30">
        <f>AE67/AE$19</f>
        <v>0</v>
      </c>
      <c r="AG67" s="12"/>
      <c r="AH67" s="30">
        <f>AG67/AG$19</f>
        <v>0</v>
      </c>
      <c r="AI67" s="12"/>
      <c r="AJ67" s="30">
        <f>AI67/AI$19</f>
        <v>0</v>
      </c>
      <c r="AK67" s="12"/>
      <c r="AL67" s="30">
        <f>AK67/AK$19</f>
        <v>0</v>
      </c>
      <c r="AM67" s="31"/>
      <c r="AN67" s="12"/>
      <c r="AO67" s="30">
        <f>AN67/AN$19</f>
        <v>0</v>
      </c>
      <c r="AP67" s="12"/>
      <c r="AQ67" s="30">
        <f>AP67/AP$19</f>
        <v>0</v>
      </c>
      <c r="AR67" s="12"/>
      <c r="AS67" s="30">
        <f>AR67/AR$19</f>
        <v>0</v>
      </c>
      <c r="AT67" s="12"/>
      <c r="AU67" s="30">
        <f>AT67/AT$19</f>
        <v>0</v>
      </c>
      <c r="AV67" s="12"/>
      <c r="AW67" s="30">
        <f>AV67/AV$19</f>
        <v>0</v>
      </c>
      <c r="AX67" s="12"/>
      <c r="AY67" s="30">
        <f>AX67/AX$19</f>
        <v>0</v>
      </c>
      <c r="AZ67" s="12"/>
      <c r="BA67" s="30">
        <f>AZ67/AZ$19</f>
        <v>0</v>
      </c>
      <c r="BB67" s="84">
        <f t="shared" si="2"/>
        <v>0</v>
      </c>
      <c r="BC67" s="30">
        <f>BB67/BB$19</f>
        <v>0</v>
      </c>
    </row>
    <row r="68" spans="1:55" s="16" customFormat="1" ht="11" x14ac:dyDescent="0.15">
      <c r="A68" s="36" t="s">
        <v>24</v>
      </c>
      <c r="C68" s="33">
        <f>C31+C42+C54+C65+C67</f>
        <v>535352.96246690664</v>
      </c>
      <c r="D68" s="30">
        <f t="shared" si="58"/>
        <v>0.63735723981409431</v>
      </c>
      <c r="E68" s="33">
        <f>E31+E42+E54+E65+E67</f>
        <v>561395.13134215993</v>
      </c>
      <c r="F68" s="30">
        <f t="shared" si="59"/>
        <v>0.63500753308669244</v>
      </c>
      <c r="G68" s="33">
        <f>G31+G42+G54+G65+G67</f>
        <v>577235.13134215993</v>
      </c>
      <c r="H68" s="30">
        <f t="shared" si="60"/>
        <v>0.6349688253061837</v>
      </c>
      <c r="I68" s="33">
        <f>I31+I42+I54+I65+I67</f>
        <v>463594.82009121997</v>
      </c>
      <c r="J68" s="30">
        <f t="shared" si="61"/>
        <v>0.63051108259600586</v>
      </c>
      <c r="K68" s="33">
        <f>K31+K42+K54+K65+K67</f>
        <v>485590.22502222005</v>
      </c>
      <c r="L68" s="30">
        <f t="shared" si="62"/>
        <v>0.62357461817230064</v>
      </c>
      <c r="M68" s="33">
        <f>M31+M42+M54+M65+M67</f>
        <v>485590.22502222005</v>
      </c>
      <c r="N68" s="30">
        <f t="shared" si="63"/>
        <v>0.62357461817230064</v>
      </c>
      <c r="O68" s="33">
        <f>O31+O42+O54+O65+O67</f>
        <v>485590.22502222005</v>
      </c>
      <c r="P68" s="30">
        <f t="shared" si="64"/>
        <v>0.62357461817230064</v>
      </c>
      <c r="Q68" s="33">
        <f>Q31+Q42+Q54+Q65+Q67</f>
        <v>476868.55745950004</v>
      </c>
      <c r="R68" s="30">
        <f t="shared" si="65"/>
        <v>0.61237461817230066</v>
      </c>
      <c r="S68" s="33">
        <f>S31+S42+S54+S65+S67</f>
        <v>498377.2999344999</v>
      </c>
      <c r="T68" s="30">
        <f t="shared" si="66"/>
        <v>0.6061713413744807</v>
      </c>
      <c r="U68" s="33">
        <f>U31+U42+U54+U65+U67</f>
        <v>497877.2999344999</v>
      </c>
      <c r="V68" s="30">
        <f t="shared" si="67"/>
        <v>0.60556319635919398</v>
      </c>
      <c r="W68" s="33">
        <f>W31+W42+W54+W65+W67</f>
        <v>489728.34867856</v>
      </c>
      <c r="X68" s="30">
        <f t="shared" si="68"/>
        <v>0.58031676781722485</v>
      </c>
      <c r="Y68" s="33">
        <f>Y31+Y42+Y54+Y65+Y67</f>
        <v>490090.34867856</v>
      </c>
      <c r="Z68" s="30">
        <f t="shared" si="69"/>
        <v>0.58074572944568004</v>
      </c>
      <c r="AA68" s="33">
        <f>AA31+AA42+AA54+AA65+AA67</f>
        <v>6047297.3879891839</v>
      </c>
      <c r="AB68" s="30">
        <f>AA68/$AA$19</f>
        <v>0.61610285334339732</v>
      </c>
      <c r="AC68" s="33">
        <f>AC31+AC42+AC54+AC65+AC67</f>
        <v>603610.61777495989</v>
      </c>
      <c r="AD68" s="30">
        <f t="shared" si="72"/>
        <v>0.66443940476126784</v>
      </c>
      <c r="AE68" s="33">
        <f>AE31+AE42+AE54+AE65+AE67</f>
        <v>617381.71303463995</v>
      </c>
      <c r="AF68" s="30">
        <f t="shared" si="73"/>
        <v>0.66353903002810044</v>
      </c>
      <c r="AG68" s="33">
        <f>AG31+AG42+AG54+AG65+AG67</f>
        <v>617019.71303463995</v>
      </c>
      <c r="AH68" s="30">
        <f t="shared" si="74"/>
        <v>0.66314996581742025</v>
      </c>
      <c r="AI68" s="33">
        <f>AI31+AI42+AI54+AI65+AI67</f>
        <v>491827.93794663996</v>
      </c>
      <c r="AJ68" s="30">
        <f t="shared" si="75"/>
        <v>0.67322186259411765</v>
      </c>
      <c r="AK68" s="33">
        <f>AK31+AK42+AK54+AK65+AK67</f>
        <v>523125.88171863998</v>
      </c>
      <c r="AL68" s="30">
        <f>AK68/$AK$19</f>
        <v>0.67022028260080613</v>
      </c>
      <c r="AM68" s="34">
        <v>0.35115184160646279</v>
      </c>
      <c r="AN68" s="33">
        <f>AN31+AN42+AN54+AN65+AN67</f>
        <v>522125.8831998611</v>
      </c>
      <c r="AO68" s="30">
        <f>AN68/$AN$19</f>
        <v>0.6689391009325345</v>
      </c>
      <c r="AP68" s="33">
        <f>AP31+AP42+AP54+AP65+AP67</f>
        <v>522125.88357796479</v>
      </c>
      <c r="AQ68" s="30">
        <f>AP68/$AP$19</f>
        <v>0.66893910141695467</v>
      </c>
      <c r="AR68" s="33">
        <f>AR31+AR42+AR54+AR65+AR67</f>
        <v>522125.88309460861</v>
      </c>
      <c r="AS68" s="30">
        <f>AR68/$AR$19</f>
        <v>0.6689391007976867</v>
      </c>
      <c r="AT68" s="33">
        <f>AT31+AT42+AT54+AT65+AT67</f>
        <v>553423.82683409366</v>
      </c>
      <c r="AU68" s="30">
        <f>AT68/$AT$19</f>
        <v>0.66637580847820499</v>
      </c>
      <c r="AV68" s="33">
        <f>AV31+AV42+AV54+AV65+AV67</f>
        <v>553423.82656540291</v>
      </c>
      <c r="AW68" s="30">
        <f>AV68/$AV$19</f>
        <v>0.66637580815467534</v>
      </c>
      <c r="AX68" s="33">
        <f>AX31+AX42+AX54+AX65+AX67</f>
        <v>569072.7987454558</v>
      </c>
      <c r="AY68" s="30">
        <f>AX68/$AX$19</f>
        <v>0.6652064561311104</v>
      </c>
      <c r="AZ68" s="33">
        <f>AZ31+AZ42+AZ54+AZ65+AZ67</f>
        <v>569072.79865782359</v>
      </c>
      <c r="BA68" s="30">
        <f>AZ68/$AZ$19</f>
        <v>0.66520645602867445</v>
      </c>
      <c r="BB68" s="86">
        <f t="shared" si="2"/>
        <v>6664345.1198889492</v>
      </c>
      <c r="BC68" s="30">
        <f>BB68/$BB$19</f>
        <v>0.66683641429579121</v>
      </c>
    </row>
    <row r="69" spans="1:55" x14ac:dyDescent="0.15">
      <c r="C69" s="38"/>
      <c r="D69" s="30"/>
      <c r="E69" s="38"/>
      <c r="F69" s="30"/>
      <c r="G69" s="38"/>
      <c r="H69" s="30"/>
      <c r="I69" s="38"/>
      <c r="J69" s="30"/>
      <c r="K69" s="39"/>
      <c r="L69" s="30"/>
      <c r="M69" s="39"/>
      <c r="N69" s="30"/>
      <c r="O69" s="39"/>
      <c r="P69" s="30"/>
      <c r="Q69" s="39"/>
      <c r="R69" s="30"/>
      <c r="S69" s="39"/>
      <c r="T69" s="30"/>
      <c r="U69" s="39"/>
      <c r="V69" s="30"/>
      <c r="W69" s="39"/>
      <c r="X69" s="30"/>
      <c r="Y69" s="39"/>
      <c r="Z69" s="30"/>
      <c r="AA69" s="40"/>
      <c r="AB69" s="30"/>
      <c r="AC69" s="39"/>
      <c r="AD69" s="30"/>
      <c r="AE69" s="39"/>
      <c r="AF69" s="30"/>
      <c r="AH69" s="30"/>
      <c r="AJ69" s="30"/>
      <c r="AL69" s="30"/>
      <c r="AO69" s="30"/>
      <c r="AQ69" s="30"/>
      <c r="AS69" s="30"/>
      <c r="AU69" s="30"/>
      <c r="AW69" s="30"/>
      <c r="AY69" s="30"/>
      <c r="BA69" s="30"/>
      <c r="BB69" s="84">
        <f t="shared" si="2"/>
        <v>0</v>
      </c>
      <c r="BC69" s="30"/>
    </row>
    <row r="70" spans="1:55" ht="14" thickBot="1" x14ac:dyDescent="0.2">
      <c r="A70" s="23" t="s">
        <v>55</v>
      </c>
      <c r="C70" s="41">
        <f>C19-C24-C31-C42-C54-C65-C67</f>
        <v>113679.58283309327</v>
      </c>
      <c r="D70" s="30">
        <f>C70/$C$19</f>
        <v>0.1353396921609393</v>
      </c>
      <c r="E70" s="41">
        <f>E19-E24-E31-E42-E54-E65-E67</f>
        <v>127135.45135783998</v>
      </c>
      <c r="F70" s="30">
        <f>E70/$E$19</f>
        <v>0.14380596629257283</v>
      </c>
      <c r="G70" s="41">
        <f>G19-G24-G31-G42-G54-G65-G67</f>
        <v>136295.45135783998</v>
      </c>
      <c r="H70" s="30">
        <f>G70/$G$19</f>
        <v>0.14992740036809127</v>
      </c>
      <c r="I70" s="41">
        <f>I19-I24-I31-I42-I54-I65-I67</f>
        <v>118135.42260878001</v>
      </c>
      <c r="J70" s="30">
        <f>I70/$I$19</f>
        <v>0.16066981332393288</v>
      </c>
      <c r="K70" s="41">
        <f>K19-K24-K31-K42-K54-K65-K67</f>
        <v>129090.10267777997</v>
      </c>
      <c r="L70" s="30">
        <f>K70/$K$19</f>
        <v>0.16577210030007558</v>
      </c>
      <c r="M70" s="41">
        <f>M19-M24-M31-M42-M54-M65-M67</f>
        <v>129090.10267777997</v>
      </c>
      <c r="N70" s="30">
        <f>M70/$M$19</f>
        <v>0.16577210030007558</v>
      </c>
      <c r="O70" s="41">
        <f>O19-O24-O31-O42-O54-O65-O67</f>
        <v>129090.10267777997</v>
      </c>
      <c r="P70" s="30">
        <f>O70/$O$19</f>
        <v>0.16577210030007558</v>
      </c>
      <c r="Q70" s="41">
        <f>Q19-Q24-Q31-Q42-Q54-Q65-Q67</f>
        <v>137811.77024049999</v>
      </c>
      <c r="R70" s="30">
        <f>Q70/$Q$19</f>
        <v>0.1769721003000756</v>
      </c>
      <c r="S70" s="41">
        <f>S19-S24-S31-S42-S54-S65-S67</f>
        <v>149253.11276550003</v>
      </c>
      <c r="T70" s="30">
        <f>S70/$S$19</f>
        <v>0.18153507308874289</v>
      </c>
      <c r="U70" s="41">
        <f>U19-U24-U31-U42-U54-U65-U67</f>
        <v>149753.11276550003</v>
      </c>
      <c r="V70" s="30">
        <f>U70/$U$19</f>
        <v>0.18214321810402967</v>
      </c>
      <c r="W70" s="41">
        <f>W19-W24-W31-W42-W54-W65-W67</f>
        <v>174377.10652143997</v>
      </c>
      <c r="X70" s="30">
        <f>W70/$W$19</f>
        <v>0.20663283861531573</v>
      </c>
      <c r="Y70" s="41">
        <f>Y19-Y24-Y31-Y42-Y54-Y65-Y67</f>
        <v>174015.10652143997</v>
      </c>
      <c r="Z70" s="30">
        <f>Y70/$Y$19</f>
        <v>0.20620387698686052</v>
      </c>
      <c r="AA70" s="41">
        <f>AA19-AA24-AA31-AA42-AA54-AA65-AA67</f>
        <v>1667718.5987012354</v>
      </c>
      <c r="AB70" s="30">
        <f>AA70/$AA$19</f>
        <v>0.16990832785475724</v>
      </c>
      <c r="AC70" s="41">
        <f>AC19-AC24-AC31-AC42-AC54-AC65-AC67</f>
        <v>91162.443425039935</v>
      </c>
      <c r="AD70" s="30">
        <f>AC70/$AC$19</f>
        <v>0.10034932763309826</v>
      </c>
      <c r="AE70" s="41">
        <f>AE19-AE24-AE31-AE42-AE54-AE65-AE67</f>
        <v>94206.537765360103</v>
      </c>
      <c r="AF70" s="30">
        <f>AE70/$AE$19</f>
        <v>0.10124970236626586</v>
      </c>
      <c r="AG70" s="41">
        <f>AG19-AG24-AG31-AG42-AG54-AG65-AG67</f>
        <v>94568.537765360103</v>
      </c>
      <c r="AH70" s="30">
        <f>AG70/$AG$19</f>
        <v>0.101638766576946</v>
      </c>
      <c r="AI70" s="41">
        <f>AI19-AI24-AI31-AI42-AI54-AI65-AI67</f>
        <v>66894.952853359995</v>
      </c>
      <c r="AJ70" s="30">
        <f>AI70/$AI$19</f>
        <v>9.1566869800248543E-2</v>
      </c>
      <c r="AK70" s="41">
        <f>AK19-AK24-AK31-AK42-AK54-AK65-AK67</f>
        <v>73813.349081360022</v>
      </c>
      <c r="AL70" s="30">
        <f>AK70/$AK$19</f>
        <v>9.4568449793560105E-2</v>
      </c>
      <c r="AM70" s="21">
        <v>0.35908464505041371</v>
      </c>
      <c r="AN70" s="41">
        <f>AN19-AN24-AN31-AN42-AN54-AN65-AN67</f>
        <v>74813.347600138935</v>
      </c>
      <c r="AO70" s="30">
        <f>AN70/$AN$19</f>
        <v>9.58496314618318E-2</v>
      </c>
      <c r="AP70" s="41">
        <f>AP19-AP24-AP31-AP42-AP54-AP65-AP67</f>
        <v>74813.347222035241</v>
      </c>
      <c r="AQ70" s="30">
        <f>AP70/$AP$19</f>
        <v>9.5849630977411573E-2</v>
      </c>
      <c r="AR70" s="41">
        <f>AR19-AR24-AR31-AR42-AR54-AR65-AR67</f>
        <v>74813.347705391425</v>
      </c>
      <c r="AS70" s="30">
        <f>AR70/$AR$19</f>
        <v>9.5849631596679571E-2</v>
      </c>
      <c r="AT70" s="41">
        <f>AT19-AT24-AT31-AT42-AT54-AT65-AT67</f>
        <v>81731.743965906178</v>
      </c>
      <c r="AU70" s="30">
        <f>AT70/$AT$19</f>
        <v>9.8412923916161119E-2</v>
      </c>
      <c r="AV70" s="41">
        <f>AV19-AV24-AV31-AV42-AV54-AV65-AV67</f>
        <v>81731.744234596932</v>
      </c>
      <c r="AW70" s="30">
        <f>AV70/$AV$19</f>
        <v>9.8412924239690766E-2</v>
      </c>
      <c r="AX70" s="41">
        <f>AX19-AX24-AX31-AX42-AX54-AX65-AX67</f>
        <v>85190.942054544212</v>
      </c>
      <c r="AY70" s="30">
        <f>AX70/$AX$19</f>
        <v>9.9582276263255776E-2</v>
      </c>
      <c r="AZ70" s="41">
        <f>AZ19-AZ24-AZ31-AZ42-AZ54-AZ65-AZ67</f>
        <v>85190.942142176456</v>
      </c>
      <c r="BA70" s="30">
        <f>AZ70/$AZ$19</f>
        <v>9.9582276365691766E-2</v>
      </c>
      <c r="BB70" s="87">
        <f t="shared" si="2"/>
        <v>978932.76781232574</v>
      </c>
      <c r="BC70" s="30">
        <f>BB70/$BB$19</f>
        <v>9.7952312640060768E-2</v>
      </c>
    </row>
    <row r="71" spans="1:55" ht="14" thickTop="1" x14ac:dyDescent="0.15">
      <c r="C71" s="42"/>
      <c r="E71" s="42"/>
      <c r="G71" s="42"/>
      <c r="I71" s="42"/>
    </row>
    <row r="72" spans="1:55" x14ac:dyDescent="0.15">
      <c r="C72" s="42"/>
      <c r="E72" s="42"/>
      <c r="G72" s="42"/>
      <c r="I72" s="42"/>
      <c r="K72" s="42"/>
      <c r="M72" s="42"/>
      <c r="O72" s="42"/>
      <c r="Q72" s="42"/>
      <c r="S72" s="42"/>
      <c r="U72" s="42"/>
      <c r="W72" s="42"/>
      <c r="Y72" s="42"/>
      <c r="AA72" s="42"/>
      <c r="AC72" s="42"/>
      <c r="AE72" s="42"/>
      <c r="AG72" s="42"/>
      <c r="AI72" s="42"/>
      <c r="AK72" s="42"/>
      <c r="AN72" s="42"/>
      <c r="AP72" s="42"/>
      <c r="AR72" s="42"/>
      <c r="AT72" s="42"/>
      <c r="AV72" s="42"/>
      <c r="AX72" s="42"/>
      <c r="AZ72" s="42"/>
    </row>
    <row r="73" spans="1:55" x14ac:dyDescent="0.15">
      <c r="C73" s="42"/>
      <c r="E73" s="42"/>
      <c r="G73" s="42"/>
      <c r="I73" s="42"/>
    </row>
    <row r="74" spans="1:55" x14ac:dyDescent="0.15">
      <c r="C74" s="42"/>
      <c r="E74" s="42"/>
      <c r="G74" s="42"/>
      <c r="I74" s="42"/>
    </row>
    <row r="75" spans="1:55" x14ac:dyDescent="0.15">
      <c r="C75" s="42"/>
      <c r="E75" s="42"/>
      <c r="G75" s="42"/>
      <c r="I75" s="42"/>
    </row>
    <row r="76" spans="1:55" x14ac:dyDescent="0.15">
      <c r="C76" s="42"/>
      <c r="E76" s="42"/>
      <c r="G76" s="42"/>
      <c r="I76" s="42"/>
    </row>
    <row r="77" spans="1:55" x14ac:dyDescent="0.15">
      <c r="C77" s="42"/>
      <c r="E77" s="42"/>
      <c r="G77" s="42"/>
      <c r="I77" s="42"/>
    </row>
    <row r="78" spans="1:55" x14ac:dyDescent="0.15">
      <c r="C78" s="42"/>
      <c r="E78" s="42"/>
      <c r="G78" s="42"/>
      <c r="I78" s="42"/>
    </row>
    <row r="79" spans="1:55" x14ac:dyDescent="0.15">
      <c r="C79" s="42"/>
      <c r="E79" s="42"/>
      <c r="G79" s="42"/>
      <c r="I79" s="42"/>
    </row>
    <row r="80" spans="1:55" x14ac:dyDescent="0.15">
      <c r="C80" s="42"/>
      <c r="E80" s="42"/>
      <c r="G80" s="42"/>
      <c r="I80" s="42"/>
    </row>
    <row r="81" spans="3:9" x14ac:dyDescent="0.15">
      <c r="C81" s="42"/>
      <c r="E81" s="42"/>
      <c r="G81" s="42"/>
      <c r="I81" s="42"/>
    </row>
    <row r="82" spans="3:9" x14ac:dyDescent="0.15">
      <c r="C82" s="42"/>
    </row>
    <row r="83" spans="3:9" x14ac:dyDescent="0.15">
      <c r="C83" s="42"/>
    </row>
    <row r="84" spans="3:9" x14ac:dyDescent="0.15">
      <c r="C84" s="42"/>
    </row>
    <row r="85" spans="3:9" x14ac:dyDescent="0.15">
      <c r="C85" s="42"/>
    </row>
    <row r="86" spans="3:9" x14ac:dyDescent="0.15">
      <c r="C86" s="42"/>
    </row>
    <row r="87" spans="3:9" x14ac:dyDescent="0.15">
      <c r="C87" s="42"/>
    </row>
    <row r="88" spans="3:9" x14ac:dyDescent="0.15">
      <c r="C88" s="42"/>
    </row>
    <row r="89" spans="3:9" x14ac:dyDescent="0.15">
      <c r="C89" s="42"/>
    </row>
    <row r="90" spans="3:9" x14ac:dyDescent="0.15">
      <c r="C90" s="42"/>
    </row>
  </sheetData>
  <printOptions horizontalCentered="1"/>
  <pageMargins left="0.25" right="0.25" top="0.75" bottom="0.75" header="0.3" footer="0.3"/>
  <pageSetup scale="34" orientation="portrait" r:id="rId1"/>
  <headerFooter alignWithMargins="0">
    <oddFooter>&amp;C&amp;8This Pro Forma is the property of the Preparers aforementioned and the information contained herein is to be kept CONFIDENTIAL by the parties to whom it is given for purposes of a business discussion.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D68B9-DA2E-914E-AD45-6167148C8A36}">
  <sheetPr>
    <tabColor rgb="FF92D050"/>
    <pageSetUpPr fitToPage="1"/>
  </sheetPr>
  <dimension ref="A1:R70"/>
  <sheetViews>
    <sheetView showGridLines="0" zoomScale="145" zoomScaleNormal="145" zoomScaleSheetLayoutView="100" workbookViewId="0">
      <pane ySplit="1" topLeftCell="A2" activePane="bottomLeft" state="frozenSplit"/>
      <selection sqref="A1:H1"/>
      <selection pane="bottomLeft" activeCell="M69" sqref="A21:M69"/>
    </sheetView>
  </sheetViews>
  <sheetFormatPr baseColWidth="10" defaultColWidth="11.5" defaultRowHeight="13" x14ac:dyDescent="0.15"/>
  <cols>
    <col min="1" max="1" width="22.6640625" customWidth="1"/>
    <col min="2" max="2" width="2.33203125" customWidth="1"/>
    <col min="3" max="3" width="16.83203125" hidden="1" customWidth="1"/>
    <col min="4" max="4" width="13.6640625" bestFit="1" customWidth="1"/>
    <col min="5" max="5" width="6.33203125" style="81" bestFit="1" customWidth="1"/>
    <col min="6" max="6" width="11.83203125" bestFit="1" customWidth="1"/>
    <col min="7" max="7" width="6.33203125" bestFit="1" customWidth="1"/>
    <col min="8" max="8" width="11.1640625" bestFit="1" customWidth="1"/>
    <col min="9" max="9" width="6.33203125" bestFit="1" customWidth="1"/>
    <col min="10" max="10" width="11.1640625" bestFit="1" customWidth="1"/>
    <col min="11" max="11" width="6.33203125" bestFit="1" customWidth="1"/>
    <col min="12" max="12" width="11.1640625" bestFit="1" customWidth="1"/>
    <col min="13" max="13" width="6.33203125" bestFit="1" customWidth="1"/>
  </cols>
  <sheetData>
    <row r="1" spans="1:18" ht="24" x14ac:dyDescent="0.25">
      <c r="A1" s="69" t="s">
        <v>126</v>
      </c>
      <c r="B1" s="69"/>
      <c r="C1" s="69"/>
      <c r="D1" s="69"/>
      <c r="E1" s="76"/>
      <c r="F1" s="69"/>
      <c r="G1" s="69"/>
      <c r="H1" s="69"/>
      <c r="I1" s="69"/>
      <c r="J1" s="69"/>
      <c r="K1" s="69"/>
      <c r="L1" s="69"/>
      <c r="M1" s="69"/>
    </row>
    <row r="2" spans="1:18" ht="16" x14ac:dyDescent="0.2">
      <c r="A2" s="62" t="s">
        <v>0</v>
      </c>
      <c r="B2" s="62"/>
      <c r="C2" s="62"/>
      <c r="D2" s="62"/>
      <c r="E2" s="62"/>
      <c r="F2" s="62"/>
      <c r="G2" s="62"/>
      <c r="H2" s="62"/>
      <c r="I2" s="62"/>
      <c r="J2" s="62"/>
      <c r="K2" s="62"/>
      <c r="L2" s="62"/>
      <c r="M2" s="62"/>
    </row>
    <row r="3" spans="1:18" x14ac:dyDescent="0.15">
      <c r="A3" s="1"/>
      <c r="B3" s="1"/>
      <c r="C3" s="1"/>
      <c r="D3" s="2"/>
      <c r="E3" s="77"/>
      <c r="F3" s="1"/>
      <c r="G3" s="1"/>
      <c r="H3" s="1"/>
      <c r="I3" s="1"/>
      <c r="J3" s="1"/>
      <c r="K3" s="1"/>
      <c r="L3" s="1"/>
      <c r="M3" s="1"/>
    </row>
    <row r="4" spans="1:18" s="6" customFormat="1" ht="14" x14ac:dyDescent="0.15">
      <c r="A4" s="3"/>
      <c r="B4" s="4"/>
      <c r="C4" s="4" t="s">
        <v>1</v>
      </c>
      <c r="D4" s="71" t="s">
        <v>119</v>
      </c>
      <c r="E4" s="78"/>
      <c r="F4" s="5" t="s">
        <v>2</v>
      </c>
      <c r="G4" s="5"/>
      <c r="H4" s="5" t="s">
        <v>3</v>
      </c>
      <c r="I4" s="5"/>
      <c r="J4" s="5" t="s">
        <v>160</v>
      </c>
      <c r="K4" s="5"/>
      <c r="L4" s="5" t="s">
        <v>161</v>
      </c>
      <c r="M4" s="5"/>
    </row>
    <row r="5" spans="1:18" s="8" customFormat="1" ht="11" x14ac:dyDescent="0.15">
      <c r="A5" s="4"/>
      <c r="B5" s="4"/>
      <c r="C5" s="4"/>
      <c r="D5" s="7"/>
      <c r="E5" s="79"/>
    </row>
    <row r="6" spans="1:18" s="8" customFormat="1" ht="11" x14ac:dyDescent="0.15">
      <c r="A6" s="27" t="str">
        <f>'Monthly Summary'!A6</f>
        <v>REVENUE</v>
      </c>
      <c r="B6" s="27"/>
      <c r="C6" s="27">
        <f>'Monthly Summary'!C6</f>
        <v>9.0899999999999995E-2</v>
      </c>
      <c r="D6" s="27"/>
      <c r="E6" s="80"/>
      <c r="F6" s="11"/>
      <c r="G6" s="64"/>
      <c r="H6" s="12"/>
      <c r="I6" s="64"/>
      <c r="J6" s="12"/>
      <c r="K6" s="64"/>
      <c r="L6" s="12"/>
      <c r="M6" s="64"/>
      <c r="R6" s="8" t="s">
        <v>121</v>
      </c>
    </row>
    <row r="7" spans="1:18" s="13" customFormat="1" ht="11" x14ac:dyDescent="0.15">
      <c r="A7" s="3" t="str">
        <f>'Monthly Summary'!A7</f>
        <v>Brunch Food</v>
      </c>
      <c r="B7" s="3"/>
      <c r="C7" s="9">
        <v>101797.84999999999</v>
      </c>
      <c r="D7" s="10">
        <f>'Monthly Summary'!AA7</f>
        <v>612000</v>
      </c>
      <c r="E7" s="80">
        <f>'Monthly Summary'!AB7</f>
        <v>6.2350984589420948E-2</v>
      </c>
      <c r="F7" s="11">
        <f>(D7*15%)+D7</f>
        <v>703800</v>
      </c>
      <c r="G7" s="64">
        <f>F7/F$19</f>
        <v>6.2350947400366896E-2</v>
      </c>
      <c r="H7" s="11">
        <f>(F7*7%)+F7</f>
        <v>753066</v>
      </c>
      <c r="I7" s="64">
        <f>H7/H$19</f>
        <v>6.2350990941783167E-2</v>
      </c>
      <c r="J7" s="11">
        <f>(H7*7%)+H7</f>
        <v>805780.62</v>
      </c>
      <c r="K7" s="64">
        <f>J7/J$19</f>
        <v>6.2350990941783167E-2</v>
      </c>
      <c r="L7" s="11">
        <f>(J7*7%)+J7</f>
        <v>862185.26340000005</v>
      </c>
      <c r="M7" s="64">
        <f>L7/L$19</f>
        <v>6.2350990941783174E-2</v>
      </c>
    </row>
    <row r="8" spans="1:18" s="13" customFormat="1" ht="11" x14ac:dyDescent="0.15">
      <c r="A8" s="3" t="str">
        <f>'Monthly Summary'!A8</f>
        <v>Dinner Food</v>
      </c>
      <c r="B8" s="3"/>
      <c r="C8" s="9">
        <v>20000</v>
      </c>
      <c r="D8" s="10">
        <f>'Monthly Summary'!AA8</f>
        <v>2448000</v>
      </c>
      <c r="E8" s="80">
        <f>'Monthly Summary'!AB8</f>
        <v>0.24940393835768379</v>
      </c>
      <c r="F8" s="11">
        <f>(D8*15%)+D8</f>
        <v>2815200</v>
      </c>
      <c r="G8" s="64">
        <f>F8/F$19</f>
        <v>0.24940378960146758</v>
      </c>
      <c r="H8" s="11">
        <f>(F8*7%)+F8</f>
        <v>3012264</v>
      </c>
      <c r="I8" s="64">
        <f>H8/H$19</f>
        <v>0.24940396376713267</v>
      </c>
      <c r="J8" s="11">
        <f>(H8*7%)+H8</f>
        <v>3223122.48</v>
      </c>
      <c r="K8" s="64">
        <f>J8/J$19</f>
        <v>0.24940396376713267</v>
      </c>
      <c r="L8" s="11">
        <f>(J8*7%)+J8</f>
        <v>3448741.0536000002</v>
      </c>
      <c r="M8" s="64">
        <f>L8/L$19</f>
        <v>0.2494039637671327</v>
      </c>
    </row>
    <row r="9" spans="1:18" s="13" customFormat="1" ht="11" hidden="1" x14ac:dyDescent="0.15">
      <c r="A9" s="3" t="str">
        <f>'Monthly Summary'!A9</f>
        <v>Bar Sales Food</v>
      </c>
      <c r="B9" s="3"/>
      <c r="C9" s="9">
        <v>153990</v>
      </c>
      <c r="D9" s="10">
        <f>'Monthly Summary'!AA9</f>
        <v>0</v>
      </c>
      <c r="E9" s="80"/>
      <c r="F9" s="11">
        <f>(D9*15%)+D9</f>
        <v>0</v>
      </c>
      <c r="G9" s="64">
        <f>F9/F$19</f>
        <v>0</v>
      </c>
      <c r="H9" s="11">
        <f>(F9*7%)+F9</f>
        <v>0</v>
      </c>
      <c r="I9" s="64">
        <f>H9/H$19</f>
        <v>0</v>
      </c>
      <c r="J9" s="11">
        <f>(H9*7%)+H9</f>
        <v>0</v>
      </c>
      <c r="K9" s="64">
        <f>J9/J$19</f>
        <v>0</v>
      </c>
      <c r="L9" s="11">
        <f>(J9*7%)+J9</f>
        <v>0</v>
      </c>
      <c r="M9" s="64">
        <f>L9/L$19</f>
        <v>0</v>
      </c>
    </row>
    <row r="10" spans="1:18" s="13" customFormat="1" ht="11" x14ac:dyDescent="0.15">
      <c r="A10" s="3" t="str">
        <f>'Monthly Summary'!A10</f>
        <v>Total Food Sales</v>
      </c>
      <c r="B10" s="3"/>
      <c r="C10" s="9"/>
      <c r="D10" s="10">
        <f>'Monthly Summary'!AA10</f>
        <v>3060001</v>
      </c>
      <c r="E10" s="80">
        <f>'Monthly Summary'!AB10</f>
        <v>0.31175502482779849</v>
      </c>
      <c r="F10" s="11">
        <f>SUM(F7:F9)</f>
        <v>3519000</v>
      </c>
      <c r="G10" s="64">
        <f>F10/F$19</f>
        <v>0.31175473700183448</v>
      </c>
      <c r="H10" s="11">
        <f>SUM(H7:H9)</f>
        <v>3765330</v>
      </c>
      <c r="I10" s="64">
        <f>H10/H$19</f>
        <v>0.31175495470891584</v>
      </c>
      <c r="J10" s="11">
        <f>SUM(J7:J9)</f>
        <v>4028903.1</v>
      </c>
      <c r="K10" s="64">
        <f>J10/J$19</f>
        <v>0.31175495470891584</v>
      </c>
      <c r="L10" s="11">
        <f>SUM(L7:L9)</f>
        <v>4310926.3169999998</v>
      </c>
      <c r="M10" s="64">
        <f>L10/L$19</f>
        <v>0.31175495470891584</v>
      </c>
    </row>
    <row r="11" spans="1:18" s="13" customFormat="1" ht="11" x14ac:dyDescent="0.15">
      <c r="A11" s="3"/>
      <c r="B11" s="3"/>
      <c r="C11" s="9"/>
      <c r="D11" s="10"/>
      <c r="E11" s="80"/>
      <c r="F11" s="11"/>
      <c r="G11" s="64"/>
      <c r="H11" s="11"/>
      <c r="I11" s="64"/>
      <c r="J11" s="11"/>
      <c r="K11" s="64"/>
      <c r="L11" s="11"/>
      <c r="M11" s="64"/>
    </row>
    <row r="12" spans="1:18" s="13" customFormat="1" ht="11" x14ac:dyDescent="0.15">
      <c r="A12" s="3" t="str">
        <f>'Monthly Summary'!A12</f>
        <v>Liquor Sales</v>
      </c>
      <c r="B12" s="3"/>
      <c r="C12" s="9">
        <v>82736.354999999996</v>
      </c>
      <c r="D12" s="10">
        <f>'Monthly Summary'!AA12</f>
        <v>2533680</v>
      </c>
      <c r="E12" s="80">
        <f>'Monthly Summary'!AB12</f>
        <v>0.2581330762002027</v>
      </c>
      <c r="F12" s="11">
        <f>(D12*15%)+D12</f>
        <v>2913732</v>
      </c>
      <c r="G12" s="64">
        <f>F12/F$19</f>
        <v>0.25813292223751894</v>
      </c>
      <c r="H12" s="11">
        <f>(F12*7%)+F12</f>
        <v>3117693.24</v>
      </c>
      <c r="I12" s="64">
        <f>H12/H$19</f>
        <v>0.25813310249898236</v>
      </c>
      <c r="J12" s="11">
        <f>(H12*7%)+H12</f>
        <v>3335931.7668000003</v>
      </c>
      <c r="K12" s="64">
        <f>J12/J$19</f>
        <v>0.25813310249898236</v>
      </c>
      <c r="L12" s="11">
        <f>(J12*7%)+J12</f>
        <v>3569446.9904760006</v>
      </c>
      <c r="M12" s="64">
        <f>L12/L$19</f>
        <v>0.25813310249898236</v>
      </c>
    </row>
    <row r="13" spans="1:18" s="16" customFormat="1" ht="11" x14ac:dyDescent="0.15">
      <c r="A13" s="3" t="str">
        <f>'Monthly Summary'!A13</f>
        <v>Wine Sales</v>
      </c>
      <c r="B13" s="14"/>
      <c r="C13" s="15">
        <v>55258.130333333342</v>
      </c>
      <c r="D13" s="10">
        <f>'Monthly Summary'!AA13</f>
        <v>1970639.9999999998</v>
      </c>
      <c r="E13" s="80">
        <f>'Monthly Summary'!AB13</f>
        <v>0.20077017037793543</v>
      </c>
      <c r="F13" s="11">
        <f>(D13*15%)+D13</f>
        <v>2266235.9999999995</v>
      </c>
      <c r="G13" s="64">
        <f>F13/F$19</f>
        <v>0.20077005062918135</v>
      </c>
      <c r="H13" s="11">
        <f>(F13*7%)+F13</f>
        <v>2424872.5199999996</v>
      </c>
      <c r="I13" s="64">
        <f>H13/H$19</f>
        <v>0.20077019083254177</v>
      </c>
      <c r="J13" s="11">
        <f>(H13*7%)+H13</f>
        <v>2594613.5963999997</v>
      </c>
      <c r="K13" s="64">
        <f>J13/J$19</f>
        <v>0.20077019083254177</v>
      </c>
      <c r="L13" s="11">
        <f>(J13*7%)+J13</f>
        <v>2776236.5481479997</v>
      </c>
      <c r="M13" s="64">
        <f>L13/L$19</f>
        <v>0.20077019083254177</v>
      </c>
    </row>
    <row r="14" spans="1:18" s="13" customFormat="1" ht="11" x14ac:dyDescent="0.15">
      <c r="A14" s="3" t="str">
        <f>'Monthly Summary'!A14</f>
        <v>Beer Sales</v>
      </c>
      <c r="B14" s="3"/>
      <c r="C14" s="9"/>
      <c r="D14" s="10">
        <f>'Monthly Summary'!AA14</f>
        <v>844560</v>
      </c>
      <c r="E14" s="80">
        <f>'Monthly Summary'!AB14</f>
        <v>8.6044358733400911E-2</v>
      </c>
      <c r="F14" s="11">
        <f>(D14*15%)+D14</f>
        <v>971244</v>
      </c>
      <c r="G14" s="64">
        <f>F14/F$19</f>
        <v>8.6044307412506321E-2</v>
      </c>
      <c r="H14" s="11">
        <f>(F14*7%)+F14</f>
        <v>1039231.08</v>
      </c>
      <c r="I14" s="64">
        <f>H14/H$19</f>
        <v>8.6044367499660768E-2</v>
      </c>
      <c r="J14" s="11">
        <f>(H14*7%)+H14</f>
        <v>1111977.2556</v>
      </c>
      <c r="K14" s="64">
        <f>J14/J$19</f>
        <v>8.6044367499660782E-2</v>
      </c>
      <c r="L14" s="11">
        <f>(J14*7%)+J14</f>
        <v>1189815.663492</v>
      </c>
      <c r="M14" s="64">
        <f>L14/L$19</f>
        <v>8.6044367499660768E-2</v>
      </c>
    </row>
    <row r="15" spans="1:18" s="13" customFormat="1" ht="11" x14ac:dyDescent="0.15">
      <c r="A15" s="3" t="str">
        <f>'Monthly Summary'!A15</f>
        <v>NA Beverage</v>
      </c>
      <c r="B15" s="3"/>
      <c r="C15" s="9">
        <v>1500</v>
      </c>
      <c r="D15" s="10">
        <f>'Monthly Summary'!AA15</f>
        <v>281520</v>
      </c>
      <c r="E15" s="80">
        <f>'Monthly Summary'!AB15</f>
        <v>2.8681452911133637E-2</v>
      </c>
      <c r="F15" s="11">
        <f>(D15*15%)+D15</f>
        <v>323748</v>
      </c>
      <c r="G15" s="64">
        <f>F15/F$19</f>
        <v>2.8681435804168771E-2</v>
      </c>
      <c r="H15" s="11">
        <f>(F15*7%)+F15</f>
        <v>346410.36</v>
      </c>
      <c r="I15" s="64">
        <f>H15/H$19</f>
        <v>2.8681455833220255E-2</v>
      </c>
      <c r="J15" s="11">
        <f>(H15*7%)+H15</f>
        <v>370659.08519999997</v>
      </c>
      <c r="K15" s="64">
        <f>J15/J$19</f>
        <v>2.8681455833220255E-2</v>
      </c>
      <c r="L15" s="11">
        <f>(J15*7%)+J15</f>
        <v>396605.22116399999</v>
      </c>
      <c r="M15" s="64">
        <f>L15/L$19</f>
        <v>2.8681455833220255E-2</v>
      </c>
    </row>
    <row r="16" spans="1:18" s="13" customFormat="1" ht="11" x14ac:dyDescent="0.15">
      <c r="A16" s="3" t="str">
        <f>'Monthly Summary'!A16</f>
        <v>Beverage Sales</v>
      </c>
      <c r="B16" s="3"/>
      <c r="C16" s="9">
        <v>300</v>
      </c>
      <c r="D16" s="10">
        <f>'Monthly Summary'!AA16</f>
        <v>5630400</v>
      </c>
      <c r="E16" s="80">
        <f>'Monthly Summary'!AB16</f>
        <v>0.57362905822267274</v>
      </c>
      <c r="F16" s="11">
        <f>'Monthly Summary'!BB16</f>
        <v>6474967.8825257253</v>
      </c>
      <c r="G16" s="64">
        <f>F16/F$19</f>
        <v>0.57362941441094983</v>
      </c>
      <c r="H16" s="11">
        <f>SUM(H12:H15)</f>
        <v>6928207.2000000002</v>
      </c>
      <c r="I16" s="64">
        <f>H16/H$19</f>
        <v>0.57362911666440519</v>
      </c>
      <c r="J16" s="11">
        <f>SUM(J12:J15)</f>
        <v>7413181.703999999</v>
      </c>
      <c r="K16" s="64">
        <f>J16/J$19</f>
        <v>0.57362911666440508</v>
      </c>
      <c r="L16" s="11">
        <f>SUM(L12:L15)</f>
        <v>7932104.4232799998</v>
      </c>
      <c r="M16" s="64">
        <f>L16/L$19</f>
        <v>0.57362911666440508</v>
      </c>
    </row>
    <row r="17" spans="1:13" s="13" customFormat="1" ht="11" x14ac:dyDescent="0.15">
      <c r="A17" s="3"/>
      <c r="B17" s="3"/>
      <c r="C17" s="12"/>
      <c r="D17" s="10"/>
      <c r="E17" s="80"/>
      <c r="F17" s="11"/>
      <c r="G17" s="64"/>
      <c r="H17" s="11"/>
      <c r="I17" s="64"/>
      <c r="J17" s="11"/>
      <c r="K17" s="64"/>
      <c r="L17" s="11"/>
      <c r="M17" s="64"/>
    </row>
    <row r="18" spans="1:13" s="13" customFormat="1" ht="11" x14ac:dyDescent="0.15">
      <c r="A18" s="3" t="str">
        <f>'Monthly Summary'!A18</f>
        <v>Special Event Sales</v>
      </c>
      <c r="B18" s="3"/>
      <c r="C18" s="12">
        <v>500</v>
      </c>
      <c r="D18" s="10">
        <f>'Monthly Summary'!AA18</f>
        <v>1125001.3393535577</v>
      </c>
      <c r="E18" s="80">
        <f>'Monthly Summary'!AB18</f>
        <v>0.11461591694952876</v>
      </c>
      <c r="F18" s="11">
        <f>(D18*15%)+D18</f>
        <v>1293751.5402565913</v>
      </c>
      <c r="G18" s="64">
        <f>F18/F$19</f>
        <v>0.11461584858721566</v>
      </c>
      <c r="H18" s="11">
        <f>(F18*7%)+F18</f>
        <v>1384314.1480745526</v>
      </c>
      <c r="I18" s="64">
        <f>H18/H$19</f>
        <v>0.11461592862667909</v>
      </c>
      <c r="J18" s="11">
        <f>(H18*7%)+H18</f>
        <v>1481216.1384397713</v>
      </c>
      <c r="K18" s="64">
        <f>J18/J$19</f>
        <v>0.11461592862667909</v>
      </c>
      <c r="L18" s="11">
        <f>(J18*7%)+J18</f>
        <v>1584901.2681305553</v>
      </c>
      <c r="M18" s="64">
        <f>L18/L$19</f>
        <v>0.11461592862667909</v>
      </c>
    </row>
    <row r="19" spans="1:13" s="13" customFormat="1" ht="11" x14ac:dyDescent="0.15">
      <c r="A19" s="95" t="str">
        <f>'Monthly Summary'!A19</f>
        <v>Total Gross Revenue</v>
      </c>
      <c r="B19" s="96"/>
      <c r="C19" s="97">
        <v>800</v>
      </c>
      <c r="D19" s="98">
        <f>'Monthly Summary'!AA19</f>
        <v>9815402.3393535577</v>
      </c>
      <c r="E19" s="99">
        <f>'Monthly Summary'!AB19</f>
        <v>1</v>
      </c>
      <c r="F19" s="100">
        <f>F18+F16+F10</f>
        <v>11287719.422782317</v>
      </c>
      <c r="G19" s="101">
        <f>F19/F$19</f>
        <v>1</v>
      </c>
      <c r="H19" s="100">
        <f>H18+H16+H10</f>
        <v>12077851.348074552</v>
      </c>
      <c r="I19" s="101">
        <f>H19/H$19</f>
        <v>1</v>
      </c>
      <c r="J19" s="100">
        <f>J18+J16+J10</f>
        <v>12923300.94243977</v>
      </c>
      <c r="K19" s="101">
        <f>J19/J$19</f>
        <v>1</v>
      </c>
      <c r="L19" s="100">
        <f>L18+L16+L10</f>
        <v>13827932.008410554</v>
      </c>
      <c r="M19" s="101">
        <f>L19/L$19</f>
        <v>1</v>
      </c>
    </row>
    <row r="20" spans="1:13" s="13" customFormat="1" ht="11" x14ac:dyDescent="0.15">
      <c r="A20" s="3"/>
      <c r="B20" s="3"/>
      <c r="C20" s="12">
        <f>C10*2.2%</f>
        <v>0</v>
      </c>
      <c r="D20" s="10"/>
      <c r="E20" s="80"/>
      <c r="F20" s="11"/>
      <c r="G20" s="64"/>
      <c r="H20" s="11"/>
      <c r="I20" s="64"/>
      <c r="J20" s="11"/>
      <c r="K20" s="64"/>
      <c r="L20" s="11"/>
      <c r="M20" s="64"/>
    </row>
    <row r="21" spans="1:13" s="13" customFormat="1" ht="11" x14ac:dyDescent="0.15">
      <c r="A21" s="27" t="str">
        <f>'Monthly Summary'!A21</f>
        <v>COGS</v>
      </c>
      <c r="B21" s="3"/>
      <c r="C21" s="12">
        <v>50</v>
      </c>
      <c r="D21" s="10"/>
      <c r="E21" s="80"/>
      <c r="F21" s="11"/>
      <c r="G21" s="64"/>
      <c r="H21" s="11"/>
      <c r="I21" s="64"/>
      <c r="J21" s="11"/>
      <c r="K21" s="64"/>
      <c r="L21" s="11"/>
      <c r="M21" s="64"/>
    </row>
    <row r="22" spans="1:13" s="13" customFormat="1" ht="11" x14ac:dyDescent="0.15">
      <c r="A22" s="3" t="str">
        <f>'Monthly Summary'!A22</f>
        <v>Food Cost</v>
      </c>
      <c r="B22" s="3"/>
      <c r="C22" s="12">
        <v>200</v>
      </c>
      <c r="D22" s="10">
        <f>'Monthly Summary'!AA22</f>
        <v>918001.02826186107</v>
      </c>
      <c r="E22" s="80">
        <f>'Monthly Summary'!AB22</f>
        <v>9.3526581644163206E-2</v>
      </c>
      <c r="F22" s="11">
        <f>(D22*15%)+D22</f>
        <v>1055701.1825011403</v>
      </c>
      <c r="G22" s="64">
        <f>F22/F$19</f>
        <v>9.3526525860519655E-2</v>
      </c>
      <c r="H22" s="11">
        <f>(F22*7%)+F22</f>
        <v>1129600.2652762202</v>
      </c>
      <c r="I22" s="64">
        <f>H22/H$19</f>
        <v>9.3526591172717222E-2</v>
      </c>
      <c r="J22" s="11">
        <f>(H22*7%)+H22</f>
        <v>1208672.2838455555</v>
      </c>
      <c r="K22" s="64">
        <f>J22/J$19</f>
        <v>9.3526591172717222E-2</v>
      </c>
      <c r="L22" s="11">
        <f>(J22*7%)+J22</f>
        <v>1293279.3437147443</v>
      </c>
      <c r="M22" s="64">
        <f>L22/L$19</f>
        <v>9.3526591172717208E-2</v>
      </c>
    </row>
    <row r="23" spans="1:13" s="13" customFormat="1" ht="11" x14ac:dyDescent="0.15">
      <c r="A23" s="3" t="str">
        <f>'Monthly Summary'!A23</f>
        <v>Beverage Cost</v>
      </c>
      <c r="B23" s="3"/>
      <c r="C23" s="12">
        <v>1200</v>
      </c>
      <c r="D23" s="10">
        <f>'Monthly Summary'!AA23</f>
        <v>1182385.3244012769</v>
      </c>
      <c r="E23" s="80">
        <f>'Monthly Summary'!AB23</f>
        <v>0.1204622371576822</v>
      </c>
      <c r="F23" s="11">
        <f>(D23*15%)+D23</f>
        <v>1359743.1230614684</v>
      </c>
      <c r="G23" s="64">
        <f>F23/F$19</f>
        <v>0.12046216530834929</v>
      </c>
      <c r="H23" s="11">
        <f>(F23*7%)+F23</f>
        <v>1454925.1416757712</v>
      </c>
      <c r="I23" s="64">
        <f>H23/H$19</f>
        <v>0.12046224943045976</v>
      </c>
      <c r="J23" s="11">
        <f>(H23*7%)+H23</f>
        <v>1556769.9015930751</v>
      </c>
      <c r="K23" s="64">
        <f>J23/J$19</f>
        <v>0.12046224943045974</v>
      </c>
      <c r="L23" s="11">
        <f>(J23*7%)+J23</f>
        <v>1665743.7947045905</v>
      </c>
      <c r="M23" s="64">
        <f>L23/L$19</f>
        <v>0.12046224943045974</v>
      </c>
    </row>
    <row r="24" spans="1:13" s="13" customFormat="1" ht="11" x14ac:dyDescent="0.15">
      <c r="A24" s="32" t="str">
        <f>'Monthly Summary'!A24</f>
        <v>Total  Blended COGS</v>
      </c>
      <c r="B24" s="3"/>
      <c r="C24" s="12">
        <v>1950</v>
      </c>
      <c r="D24" s="10">
        <f>'Monthly Summary'!AA24</f>
        <v>2100386.352663138</v>
      </c>
      <c r="E24" s="80">
        <f>'Monthly Summary'!AB24</f>
        <v>0.21398881880184539</v>
      </c>
      <c r="F24" s="11">
        <f>(D24*15%)+D24</f>
        <v>2415444.3055626089</v>
      </c>
      <c r="G24" s="64">
        <f>F24/F$19</f>
        <v>0.21398869116886896</v>
      </c>
      <c r="H24" s="11">
        <f>(F24*7%)+F24</f>
        <v>2584525.4069519914</v>
      </c>
      <c r="I24" s="64">
        <f>H24/H$19</f>
        <v>0.21398884060317697</v>
      </c>
      <c r="J24" s="11">
        <f>(H24*7%)+H24</f>
        <v>2765442.1854386306</v>
      </c>
      <c r="K24" s="64">
        <f>J24/J$19</f>
        <v>0.21398884060317697</v>
      </c>
      <c r="L24" s="11">
        <f>(J24*7%)+J24</f>
        <v>2959023.1384193348</v>
      </c>
      <c r="M24" s="64">
        <f>L24/L$19</f>
        <v>0.21398884060317697</v>
      </c>
    </row>
    <row r="25" spans="1:13" s="13" customFormat="1" ht="11" x14ac:dyDescent="0.15">
      <c r="A25" s="3"/>
      <c r="B25" s="3"/>
      <c r="C25" s="12">
        <v>2500</v>
      </c>
      <c r="D25" s="10"/>
      <c r="E25" s="80"/>
      <c r="F25" s="11"/>
      <c r="G25" s="64"/>
      <c r="H25" s="11"/>
      <c r="I25" s="64"/>
      <c r="J25" s="11"/>
      <c r="K25" s="64"/>
      <c r="L25" s="11"/>
      <c r="M25" s="64"/>
    </row>
    <row r="26" spans="1:13" s="13" customFormat="1" ht="11" x14ac:dyDescent="0.15">
      <c r="A26" s="27" t="str">
        <f>'Monthly Summary'!A26</f>
        <v>EXPENSE LINES</v>
      </c>
      <c r="B26" s="3"/>
      <c r="C26" s="12">
        <v>500</v>
      </c>
      <c r="D26" s="10"/>
      <c r="E26" s="80"/>
      <c r="F26" s="11"/>
      <c r="G26" s="64"/>
      <c r="H26" s="11"/>
      <c r="I26" s="64"/>
      <c r="J26" s="11"/>
      <c r="K26" s="64"/>
      <c r="L26" s="11"/>
      <c r="M26" s="64"/>
    </row>
    <row r="27" spans="1:13" s="13" customFormat="1" ht="11" x14ac:dyDescent="0.15">
      <c r="A27" s="74" t="str">
        <f>'Monthly Summary'!A27</f>
        <v>Payroll Expense:</v>
      </c>
      <c r="B27" s="3"/>
      <c r="C27" s="12">
        <f>C10*1.25%</f>
        <v>0</v>
      </c>
      <c r="D27" s="10"/>
      <c r="E27" s="80"/>
      <c r="F27" s="11"/>
      <c r="G27" s="64"/>
      <c r="H27" s="11"/>
      <c r="I27" s="64"/>
      <c r="J27" s="11"/>
      <c r="K27" s="64"/>
      <c r="L27" s="11"/>
      <c r="M27" s="64"/>
    </row>
    <row r="28" spans="1:13" s="13" customFormat="1" ht="11" x14ac:dyDescent="0.15">
      <c r="A28" s="3" t="str">
        <f>'Monthly Summary'!A28</f>
        <v>Labor Expenses</v>
      </c>
      <c r="B28" s="3"/>
      <c r="C28" s="12">
        <f>C10*44.7%</f>
        <v>0</v>
      </c>
      <c r="D28" s="10">
        <f>'Monthly Summary'!AA28</f>
        <v>4002216.573162999</v>
      </c>
      <c r="E28" s="80">
        <f>'Monthly Summary'!AB28</f>
        <v>0.40774860110590078</v>
      </c>
      <c r="F28" s="11">
        <f>(D28*15%)+D28</f>
        <v>4602549.0591374487</v>
      </c>
      <c r="G28" s="64">
        <f>F28/F$19</f>
        <v>0.40774835790549474</v>
      </c>
      <c r="H28" s="11">
        <f>(F28*7%)+F28</f>
        <v>4924727.4932770701</v>
      </c>
      <c r="I28" s="64">
        <f>H28/H$19</f>
        <v>0.4077486426476154</v>
      </c>
      <c r="J28" s="11">
        <f>(H28*7%)+H28</f>
        <v>5269458.4178064652</v>
      </c>
      <c r="K28" s="64">
        <f>J28/J$19</f>
        <v>0.4077486426476154</v>
      </c>
      <c r="L28" s="11">
        <f>(J28*7%)+J28</f>
        <v>5638320.507052918</v>
      </c>
      <c r="M28" s="64">
        <f>L28/L$19</f>
        <v>0.4077486426476154</v>
      </c>
    </row>
    <row r="29" spans="1:13" s="13" customFormat="1" ht="11" x14ac:dyDescent="0.15">
      <c r="A29" s="3" t="str">
        <f>'Monthly Summary'!A29</f>
        <v>Payroll Tax Expenses</v>
      </c>
      <c r="B29" s="3"/>
      <c r="C29" s="12">
        <f>+C28*0.12</f>
        <v>0</v>
      </c>
      <c r="D29" s="10">
        <f>'Monthly Summary'!AA29</f>
        <v>480265.98877956008</v>
      </c>
      <c r="E29" s="80">
        <f>'Monthly Summary'!AB29</f>
        <v>4.8929832132708115E-2</v>
      </c>
      <c r="F29" s="11">
        <f>(D29*15%)+D29</f>
        <v>552305.88709649409</v>
      </c>
      <c r="G29" s="64">
        <f>F29/F$19</f>
        <v>4.8929802948659389E-2</v>
      </c>
      <c r="H29" s="11">
        <f>(F29*7%)+F29</f>
        <v>590967.29919324862</v>
      </c>
      <c r="I29" s="64">
        <f>H29/H$19</f>
        <v>4.8929837117713863E-2</v>
      </c>
      <c r="J29" s="11">
        <f>(H29*7%)+H29</f>
        <v>632335.01013677602</v>
      </c>
      <c r="K29" s="64">
        <f>J29/J$19</f>
        <v>4.8929837117713863E-2</v>
      </c>
      <c r="L29" s="11">
        <f>(J29*7%)+J29</f>
        <v>676598.4608463503</v>
      </c>
      <c r="M29" s="64">
        <f>L29/L$19</f>
        <v>4.8929837117713856E-2</v>
      </c>
    </row>
    <row r="30" spans="1:13" s="13" customFormat="1" ht="11" x14ac:dyDescent="0.15">
      <c r="A30" s="3" t="str">
        <f>'Monthly Summary'!A30</f>
        <v>Work Comp Insurance</v>
      </c>
      <c r="B30" s="3"/>
      <c r="C30" s="12">
        <v>500</v>
      </c>
      <c r="D30" s="10">
        <f>'Monthly Summary'!AA30</f>
        <v>48000.054143660898</v>
      </c>
      <c r="E30" s="80">
        <f>'Monthly Summary'!AB30</f>
        <v>4.8902788173247908E-3</v>
      </c>
      <c r="F30" s="11">
        <f>(D30*15%)+D30</f>
        <v>55200.062265210036</v>
      </c>
      <c r="G30" s="64">
        <f>F30/F$19</f>
        <v>4.8902759005329472E-3</v>
      </c>
      <c r="H30" s="11">
        <f>(F30*7%)+F30</f>
        <v>59064.066623774735</v>
      </c>
      <c r="I30" s="64">
        <f>H30/H$19</f>
        <v>4.8902793155498406E-3</v>
      </c>
      <c r="J30" s="11">
        <f>(H30*7%)+H30</f>
        <v>63198.551287438968</v>
      </c>
      <c r="K30" s="64">
        <f>J30/J$19</f>
        <v>4.8902793155498406E-3</v>
      </c>
      <c r="L30" s="11">
        <f>(J30*7%)+J30</f>
        <v>67622.449877559702</v>
      </c>
      <c r="M30" s="64">
        <f>L30/L$19</f>
        <v>4.8902793155498406E-3</v>
      </c>
    </row>
    <row r="31" spans="1:13" s="13" customFormat="1" ht="11" x14ac:dyDescent="0.15">
      <c r="A31" s="3"/>
      <c r="B31" s="3"/>
      <c r="C31" s="12">
        <v>200</v>
      </c>
      <c r="D31" s="10">
        <f>'Monthly Summary'!AA31</f>
        <v>4530482.6160862194</v>
      </c>
      <c r="E31" s="80">
        <f>'Monthly Summary'!AB31</f>
        <v>0.46156871205593364</v>
      </c>
      <c r="F31" s="11">
        <f>SUM(F28:F30)</f>
        <v>5210055.008499153</v>
      </c>
      <c r="G31" s="64">
        <f>F31/F$19</f>
        <v>0.46156843675468712</v>
      </c>
      <c r="H31" s="11">
        <f>SUM(H28:H30)</f>
        <v>5574758.8590940936</v>
      </c>
      <c r="I31" s="64">
        <f>H31/H$19</f>
        <v>0.46156875908087908</v>
      </c>
      <c r="J31" s="11">
        <f>SUM(J28:J30)</f>
        <v>5964991.9792306796</v>
      </c>
      <c r="K31" s="64">
        <f>J31/J$19</f>
        <v>0.46156875908087908</v>
      </c>
      <c r="L31" s="11">
        <f>SUM(L28:L30)</f>
        <v>6382541.4177768286</v>
      </c>
      <c r="M31" s="64">
        <f>L31/L$19</f>
        <v>0.46156875908087913</v>
      </c>
    </row>
    <row r="32" spans="1:13" s="13" customFormat="1" ht="11" x14ac:dyDescent="0.15">
      <c r="A32" s="73" t="str">
        <f>'Monthly Summary'!A32</f>
        <v>Administrative Expenses:</v>
      </c>
      <c r="B32" s="3"/>
      <c r="C32" s="12">
        <v>800</v>
      </c>
      <c r="D32" s="10"/>
      <c r="E32" s="80"/>
      <c r="F32" s="11"/>
      <c r="G32" s="64"/>
      <c r="H32" s="11"/>
      <c r="I32" s="64"/>
      <c r="J32" s="11"/>
      <c r="K32" s="64"/>
      <c r="L32" s="11"/>
      <c r="M32" s="64"/>
    </row>
    <row r="33" spans="1:13" s="13" customFormat="1" ht="11" x14ac:dyDescent="0.15">
      <c r="A33" s="3" t="str">
        <f>'Monthly Summary'!A33</f>
        <v>Advertising and Promotion</v>
      </c>
      <c r="B33" s="3"/>
      <c r="C33" s="12">
        <f>7.5%*SUM(C6+C7+C8)</f>
        <v>9134.8455674999987</v>
      </c>
      <c r="D33" s="10">
        <f>'Monthly Summary'!AA33</f>
        <v>60000.067679576117</v>
      </c>
      <c r="E33" s="80">
        <f>'Monthly Summary'!AB33</f>
        <v>6.1128485216559872E-3</v>
      </c>
      <c r="F33" s="11">
        <v>70000</v>
      </c>
      <c r="G33" s="64">
        <f t="shared" ref="G33:G42" si="0">F33/F$19</f>
        <v>6.2014298352169404E-3</v>
      </c>
      <c r="H33" s="11">
        <v>70000</v>
      </c>
      <c r="I33" s="64">
        <f t="shared" ref="I33:I42" si="1">H33/H$19</f>
        <v>5.7957328652798318E-3</v>
      </c>
      <c r="J33" s="11">
        <v>70000</v>
      </c>
      <c r="K33" s="64">
        <f t="shared" ref="K33:K42" si="2">J33/J$19</f>
        <v>5.4165727712895623E-3</v>
      </c>
      <c r="L33" s="11">
        <v>70000</v>
      </c>
      <c r="M33" s="64">
        <f t="shared" ref="M33:M42" si="3">L33/L$19</f>
        <v>5.0622175432612736E-3</v>
      </c>
    </row>
    <row r="34" spans="1:13" s="13" customFormat="1" ht="11" x14ac:dyDescent="0.15">
      <c r="A34" s="3" t="str">
        <f>'Monthly Summary'!A34</f>
        <v>Banking Expense</v>
      </c>
      <c r="B34" s="3"/>
      <c r="C34" s="12">
        <v>400</v>
      </c>
      <c r="D34" s="10">
        <f>'Monthly Summary'!AA34</f>
        <v>1200.0013535915225</v>
      </c>
      <c r="E34" s="80">
        <f>'Monthly Summary'!AB34</f>
        <v>1.2225697043311977E-4</v>
      </c>
      <c r="F34" s="11">
        <v>1200</v>
      </c>
      <c r="G34" s="64">
        <f t="shared" si="0"/>
        <v>1.0631022574657613E-4</v>
      </c>
      <c r="H34" s="11">
        <v>1200</v>
      </c>
      <c r="I34" s="64">
        <f t="shared" si="1"/>
        <v>9.9355420547654264E-5</v>
      </c>
      <c r="J34" s="11">
        <v>1200</v>
      </c>
      <c r="K34" s="64">
        <f t="shared" si="2"/>
        <v>9.2855533222106786E-5</v>
      </c>
      <c r="L34" s="11">
        <v>1200</v>
      </c>
      <c r="M34" s="64">
        <f t="shared" si="3"/>
        <v>8.6780872170193251E-5</v>
      </c>
    </row>
    <row r="35" spans="1:13" s="13" customFormat="1" ht="11" x14ac:dyDescent="0.15">
      <c r="A35" s="3" t="str">
        <f>'Monthly Summary'!A35</f>
        <v>Merchant Account Fees</v>
      </c>
      <c r="B35" s="3"/>
      <c r="C35" s="12">
        <v>2000</v>
      </c>
      <c r="D35" s="10">
        <f>'Monthly Summary'!AA35</f>
        <v>294462.36</v>
      </c>
      <c r="E35" s="80">
        <f>'Monthly Summary'!AB35</f>
        <v>3.0000029527000854E-2</v>
      </c>
      <c r="F35" s="11">
        <f>(D35*15%)+D35</f>
        <v>338631.71399999998</v>
      </c>
      <c r="G35" s="64">
        <f t="shared" si="0"/>
        <v>3.0000011633574998E-2</v>
      </c>
      <c r="H35" s="11">
        <f>(F35*7%)+F35</f>
        <v>362335.93397999997</v>
      </c>
      <c r="I35" s="64">
        <f t="shared" si="1"/>
        <v>3.0000032583424988E-2</v>
      </c>
      <c r="J35" s="11">
        <f>(H35*7%)+H35</f>
        <v>387699.44935859996</v>
      </c>
      <c r="K35" s="64">
        <f t="shared" si="2"/>
        <v>3.0000032583424988E-2</v>
      </c>
      <c r="L35" s="11">
        <f>(J35*7%)+J35</f>
        <v>414838.41081370198</v>
      </c>
      <c r="M35" s="64">
        <f t="shared" si="3"/>
        <v>3.0000032583424988E-2</v>
      </c>
    </row>
    <row r="36" spans="1:13" s="13" customFormat="1" ht="11" x14ac:dyDescent="0.15">
      <c r="A36" s="3" t="str">
        <f>'Monthly Summary'!A36</f>
        <v>Licenses &amp; Permits</v>
      </c>
      <c r="B36" s="3"/>
      <c r="C36" s="12">
        <v>400</v>
      </c>
      <c r="D36" s="10">
        <f>'Monthly Summary'!AA36</f>
        <v>7500.0084599470147</v>
      </c>
      <c r="E36" s="80">
        <f>'Monthly Summary'!AB36</f>
        <v>7.641060652069984E-4</v>
      </c>
      <c r="F36" s="11">
        <v>7500</v>
      </c>
      <c r="G36" s="64">
        <f t="shared" si="0"/>
        <v>6.6443891091610074E-4</v>
      </c>
      <c r="H36" s="11">
        <v>7500</v>
      </c>
      <c r="I36" s="64">
        <f t="shared" si="1"/>
        <v>6.2097137842283907E-4</v>
      </c>
      <c r="J36" s="11">
        <v>7500</v>
      </c>
      <c r="K36" s="64">
        <f t="shared" si="2"/>
        <v>5.8034708263816741E-4</v>
      </c>
      <c r="L36" s="11">
        <v>7500</v>
      </c>
      <c r="M36" s="64">
        <f t="shared" si="3"/>
        <v>5.4238045106370784E-4</v>
      </c>
    </row>
    <row r="37" spans="1:13" s="13" customFormat="1" ht="11" x14ac:dyDescent="0.15">
      <c r="A37" s="3" t="str">
        <f>'Monthly Summary'!A37</f>
        <v>Linens Service</v>
      </c>
      <c r="B37" s="3"/>
      <c r="C37" s="12">
        <v>250</v>
      </c>
      <c r="D37" s="10">
        <f>'Monthly Summary'!AA37</f>
        <v>14400.016243098267</v>
      </c>
      <c r="E37" s="80">
        <f>'Monthly Summary'!AB37</f>
        <v>1.467083645197437E-3</v>
      </c>
      <c r="F37" s="11">
        <v>14400</v>
      </c>
      <c r="G37" s="64">
        <f t="shared" si="0"/>
        <v>1.2757227089589135E-3</v>
      </c>
      <c r="H37" s="11">
        <v>14400</v>
      </c>
      <c r="I37" s="64">
        <f t="shared" si="1"/>
        <v>1.1922650465718511E-3</v>
      </c>
      <c r="J37" s="11">
        <v>14400</v>
      </c>
      <c r="K37" s="64">
        <f t="shared" si="2"/>
        <v>1.1142663986652814E-3</v>
      </c>
      <c r="L37" s="11">
        <v>14400</v>
      </c>
      <c r="M37" s="64">
        <f t="shared" si="3"/>
        <v>1.0413704660423191E-3</v>
      </c>
    </row>
    <row r="38" spans="1:13" s="13" customFormat="1" ht="11" x14ac:dyDescent="0.15">
      <c r="A38" s="3" t="str">
        <f>'Monthly Summary'!A38</f>
        <v>Reservation Systems</v>
      </c>
      <c r="B38" s="3"/>
      <c r="C38" s="12">
        <f>35000/12</f>
        <v>2916.6666666666665</v>
      </c>
      <c r="D38" s="10">
        <f>'Monthly Summary'!AA38</f>
        <v>6000.0067679576123</v>
      </c>
      <c r="E38" s="80">
        <f>'Monthly Summary'!AB38</f>
        <v>6.1128485216559885E-4</v>
      </c>
      <c r="F38" s="11">
        <v>6000</v>
      </c>
      <c r="G38" s="64">
        <f t="shared" si="0"/>
        <v>5.3155112873288059E-4</v>
      </c>
      <c r="H38" s="11">
        <v>6000</v>
      </c>
      <c r="I38" s="64">
        <f t="shared" si="1"/>
        <v>4.9677710273827135E-4</v>
      </c>
      <c r="J38" s="11">
        <v>6000</v>
      </c>
      <c r="K38" s="64">
        <f t="shared" si="2"/>
        <v>4.6427766611053389E-4</v>
      </c>
      <c r="L38" s="11">
        <v>6000</v>
      </c>
      <c r="M38" s="64">
        <f t="shared" si="3"/>
        <v>4.3390436085096628E-4</v>
      </c>
    </row>
    <row r="39" spans="1:13" s="13" customFormat="1" ht="11" x14ac:dyDescent="0.15">
      <c r="A39" s="3" t="str">
        <f>'Monthly Summary'!A39</f>
        <v>Marketing Materials</v>
      </c>
      <c r="B39" s="3"/>
      <c r="C39" s="12">
        <v>1250</v>
      </c>
      <c r="D39" s="10">
        <f>'Monthly Summary'!AA39</f>
        <v>60000.067679576117</v>
      </c>
      <c r="E39" s="80">
        <f>'Monthly Summary'!AB39</f>
        <v>6.1128485216559872E-3</v>
      </c>
      <c r="F39" s="11">
        <v>60000</v>
      </c>
      <c r="G39" s="64">
        <f t="shared" si="0"/>
        <v>5.3155112873288059E-3</v>
      </c>
      <c r="H39" s="11">
        <v>60000</v>
      </c>
      <c r="I39" s="64">
        <f t="shared" si="1"/>
        <v>4.9677710273827126E-3</v>
      </c>
      <c r="J39" s="11">
        <v>60000</v>
      </c>
      <c r="K39" s="64">
        <f t="shared" si="2"/>
        <v>4.6427766611053392E-3</v>
      </c>
      <c r="L39" s="11">
        <v>60000</v>
      </c>
      <c r="M39" s="64">
        <f t="shared" si="3"/>
        <v>4.3390436085096627E-3</v>
      </c>
    </row>
    <row r="40" spans="1:13" s="13" customFormat="1" ht="11" x14ac:dyDescent="0.15">
      <c r="A40" s="3" t="str">
        <f>'Monthly Summary'!A40</f>
        <v>Accounting</v>
      </c>
      <c r="B40" s="3"/>
      <c r="C40" s="12">
        <v>100</v>
      </c>
      <c r="D40" s="10">
        <f>'Monthly Summary'!AA40</f>
        <v>60000.067679576117</v>
      </c>
      <c r="E40" s="80">
        <f>'Monthly Summary'!AB40</f>
        <v>6.1128485216559872E-3</v>
      </c>
      <c r="F40" s="11">
        <v>60000</v>
      </c>
      <c r="G40" s="64">
        <f t="shared" si="0"/>
        <v>5.3155112873288059E-3</v>
      </c>
      <c r="H40" s="11">
        <v>60000</v>
      </c>
      <c r="I40" s="64">
        <f t="shared" si="1"/>
        <v>4.9677710273827126E-3</v>
      </c>
      <c r="J40" s="11">
        <v>60000</v>
      </c>
      <c r="K40" s="64">
        <f t="shared" si="2"/>
        <v>4.6427766611053392E-3</v>
      </c>
      <c r="L40" s="11">
        <v>60000</v>
      </c>
      <c r="M40" s="64">
        <f t="shared" si="3"/>
        <v>4.3390436085096627E-3</v>
      </c>
    </row>
    <row r="41" spans="1:13" s="13" customFormat="1" ht="11" x14ac:dyDescent="0.15">
      <c r="A41" s="3" t="str">
        <f>'Monthly Summary'!A41</f>
        <v>Entertainment</v>
      </c>
      <c r="B41" s="3"/>
      <c r="C41" s="12">
        <v>1000</v>
      </c>
      <c r="D41" s="10">
        <f>'Monthly Summary'!AA41</f>
        <v>96000.108287321797</v>
      </c>
      <c r="E41" s="80">
        <f>'Monthly Summary'!AB41</f>
        <v>9.7805576346495816E-3</v>
      </c>
      <c r="F41" s="11">
        <v>104000</v>
      </c>
      <c r="G41" s="64">
        <f t="shared" si="0"/>
        <v>9.2135528980365963E-3</v>
      </c>
      <c r="H41" s="11">
        <v>104000</v>
      </c>
      <c r="I41" s="64">
        <f t="shared" si="1"/>
        <v>8.6108031141300355E-3</v>
      </c>
      <c r="J41" s="11">
        <v>104000</v>
      </c>
      <c r="K41" s="64">
        <f t="shared" si="2"/>
        <v>8.0474795459159216E-3</v>
      </c>
      <c r="L41" s="11">
        <v>104000</v>
      </c>
      <c r="M41" s="64">
        <f t="shared" si="3"/>
        <v>7.5210089214167485E-3</v>
      </c>
    </row>
    <row r="42" spans="1:13" s="13" customFormat="1" ht="11" x14ac:dyDescent="0.15">
      <c r="A42" s="3"/>
      <c r="B42" s="3"/>
      <c r="C42" s="12">
        <v>2000</v>
      </c>
      <c r="D42" s="10">
        <f>'Monthly Summary'!AA42</f>
        <v>599562.70415064448</v>
      </c>
      <c r="E42" s="80">
        <f>'Monthly Summary'!AB42</f>
        <v>6.1083864259621541E-2</v>
      </c>
      <c r="F42" s="11">
        <f>SUM(F33:F41)</f>
        <v>661731.71399999992</v>
      </c>
      <c r="G42" s="64">
        <f t="shared" si="0"/>
        <v>5.8624039915840614E-2</v>
      </c>
      <c r="H42" s="11">
        <f>SUM(H33:H41)</f>
        <v>685435.93397999997</v>
      </c>
      <c r="I42" s="64">
        <f t="shared" si="1"/>
        <v>5.6751479565880898E-2</v>
      </c>
      <c r="J42" s="11">
        <f>SUM(J33:J41)</f>
        <v>710799.44935859996</v>
      </c>
      <c r="K42" s="64">
        <f t="shared" si="2"/>
        <v>5.5001384903477238E-2</v>
      </c>
      <c r="L42" s="11">
        <f>SUM(L33:L41)</f>
        <v>737938.41081370204</v>
      </c>
      <c r="M42" s="64">
        <f t="shared" si="3"/>
        <v>5.336578241524953E-2</v>
      </c>
    </row>
    <row r="43" spans="1:13" s="13" customFormat="1" ht="11" x14ac:dyDescent="0.15">
      <c r="A43" s="74" t="str">
        <f>'Monthly Summary'!A43</f>
        <v>Restaurant Controllable Expenses:</v>
      </c>
      <c r="B43" s="3"/>
      <c r="C43" s="12"/>
      <c r="D43" s="10"/>
      <c r="E43" s="80"/>
      <c r="F43" s="11"/>
      <c r="G43" s="64"/>
      <c r="H43" s="11"/>
      <c r="I43" s="64"/>
      <c r="J43" s="11"/>
      <c r="K43" s="64"/>
      <c r="L43" s="11"/>
      <c r="M43" s="64"/>
    </row>
    <row r="44" spans="1:13" s="13" customFormat="1" ht="11" x14ac:dyDescent="0.15">
      <c r="A44" s="3" t="str">
        <f>'Monthly Summary'!A44</f>
        <v>Comps / Discounts</v>
      </c>
      <c r="B44" s="3"/>
      <c r="C44" s="12">
        <f>7500/12</f>
        <v>625</v>
      </c>
      <c r="D44" s="10">
        <f>'Monthly Summary'!AA44</f>
        <v>180027.56958550002</v>
      </c>
      <c r="E44" s="80">
        <f>'Monthly Summary'!AB44</f>
        <v>1.8341333687739249E-2</v>
      </c>
      <c r="F44" s="11">
        <f>(D44*15%)+D44</f>
        <v>207031.70502332502</v>
      </c>
      <c r="G44" s="64">
        <f t="shared" ref="G44:G54" si="4">F44/F$19</f>
        <v>1.8341322748106868E-2</v>
      </c>
      <c r="H44" s="11">
        <f>(F44*7%)+F44</f>
        <v>221523.92437495777</v>
      </c>
      <c r="I44" s="64">
        <f t="shared" ref="I44:I54" si="5">H44/H$19</f>
        <v>1.8341335556367241E-2</v>
      </c>
      <c r="J44" s="11">
        <f>(H44*7%)+H44</f>
        <v>237030.59908120483</v>
      </c>
      <c r="K44" s="64">
        <f t="shared" ref="K44:K54" si="6">J44/J$19</f>
        <v>1.8341335556367241E-2</v>
      </c>
      <c r="L44" s="11">
        <f>(J44*7%)+J44</f>
        <v>253622.74101688917</v>
      </c>
      <c r="M44" s="64">
        <f t="shared" ref="M44:M54" si="7">L44/L$19</f>
        <v>1.8341335556367241E-2</v>
      </c>
    </row>
    <row r="45" spans="1:13" s="13" customFormat="1" ht="11" x14ac:dyDescent="0.15">
      <c r="A45" s="3" t="str">
        <f>'Monthly Summary'!A45</f>
        <v>Special Event Expense</v>
      </c>
      <c r="B45" s="3"/>
      <c r="C45" s="12"/>
      <c r="D45" s="10">
        <f>'Monthly Summary'!AA45</f>
        <v>112500.12657865963</v>
      </c>
      <c r="E45" s="80">
        <f>'Monthly Summary'!AB45</f>
        <v>1.146159094544757E-2</v>
      </c>
      <c r="F45" s="11">
        <f>(D45*15%)+D45</f>
        <v>129375.14556545857</v>
      </c>
      <c r="G45" s="64">
        <f t="shared" si="4"/>
        <v>1.1461584109216705E-2</v>
      </c>
      <c r="H45" s="11">
        <f>(F45*7%)+F45</f>
        <v>138431.40575504067</v>
      </c>
      <c r="I45" s="64">
        <f t="shared" si="5"/>
        <v>1.1461592113162526E-2</v>
      </c>
      <c r="J45" s="11">
        <f>(H45*7%)+H45</f>
        <v>148121.60415789351</v>
      </c>
      <c r="K45" s="64">
        <f t="shared" si="6"/>
        <v>1.1461592113162526E-2</v>
      </c>
      <c r="L45" s="11">
        <f>(J45*7%)+J45</f>
        <v>158490.11644894606</v>
      </c>
      <c r="M45" s="64">
        <f t="shared" si="7"/>
        <v>1.1461592113162526E-2</v>
      </c>
    </row>
    <row r="46" spans="1:13" s="13" customFormat="1" ht="11" x14ac:dyDescent="0.15">
      <c r="A46" s="3" t="str">
        <f>'Monthly Summary'!A46</f>
        <v>Cleaning Supplies</v>
      </c>
      <c r="B46" s="3"/>
      <c r="C46" s="12">
        <f>15600/12</f>
        <v>1300</v>
      </c>
      <c r="D46" s="10">
        <f>'Monthly Summary'!AA46</f>
        <v>18000.020303872836</v>
      </c>
      <c r="E46" s="80">
        <f>'Monthly Summary'!AB46</f>
        <v>1.8338545564967963E-3</v>
      </c>
      <c r="F46" s="11">
        <v>24000</v>
      </c>
      <c r="G46" s="64">
        <f t="shared" si="4"/>
        <v>2.1262045149315224E-3</v>
      </c>
      <c r="H46" s="11">
        <v>24000</v>
      </c>
      <c r="I46" s="64">
        <f t="shared" si="5"/>
        <v>1.9871084109530854E-3</v>
      </c>
      <c r="J46" s="11">
        <v>24000</v>
      </c>
      <c r="K46" s="64">
        <f t="shared" si="6"/>
        <v>1.8571106644421356E-3</v>
      </c>
      <c r="L46" s="11">
        <v>24000</v>
      </c>
      <c r="M46" s="64">
        <f t="shared" si="7"/>
        <v>1.7356174434038651E-3</v>
      </c>
    </row>
    <row r="47" spans="1:13" s="13" customFormat="1" ht="11" x14ac:dyDescent="0.15">
      <c r="A47" s="3" t="str">
        <f>'Monthly Summary'!A47</f>
        <v>China, Glass, Flatware</v>
      </c>
      <c r="B47" s="3"/>
      <c r="C47" s="12"/>
      <c r="D47" s="10">
        <f>'Monthly Summary'!AA47</f>
        <v>18250.020814078478</v>
      </c>
      <c r="E47" s="80">
        <f>'Monthly Summary'!AB47</f>
        <v>1.8593247819202921E-3</v>
      </c>
      <c r="F47" s="11">
        <v>24000</v>
      </c>
      <c r="G47" s="64">
        <f t="shared" si="4"/>
        <v>2.1262045149315224E-3</v>
      </c>
      <c r="H47" s="11">
        <v>24000</v>
      </c>
      <c r="I47" s="64">
        <f t="shared" si="5"/>
        <v>1.9871084109530854E-3</v>
      </c>
      <c r="J47" s="11">
        <v>24000</v>
      </c>
      <c r="K47" s="64">
        <f t="shared" si="6"/>
        <v>1.8571106644421356E-3</v>
      </c>
      <c r="L47" s="11">
        <v>24000</v>
      </c>
      <c r="M47" s="64">
        <f t="shared" si="7"/>
        <v>1.7356174434038651E-3</v>
      </c>
    </row>
    <row r="48" spans="1:13" s="13" customFormat="1" ht="11" x14ac:dyDescent="0.15">
      <c r="A48" s="3" t="str">
        <f>'Monthly Summary'!A48</f>
        <v>Supplies - Office</v>
      </c>
      <c r="B48" s="3"/>
      <c r="C48" s="12">
        <v>250</v>
      </c>
      <c r="D48" s="10">
        <f>'Monthly Summary'!AA48</f>
        <v>4800.00541436609</v>
      </c>
      <c r="E48" s="80">
        <f>'Monthly Summary'!AB48</f>
        <v>4.8902788173247908E-4</v>
      </c>
      <c r="F48" s="11">
        <v>12000</v>
      </c>
      <c r="G48" s="64">
        <f t="shared" si="4"/>
        <v>1.0631022574657612E-3</v>
      </c>
      <c r="H48" s="11">
        <v>12000</v>
      </c>
      <c r="I48" s="64">
        <f t="shared" si="5"/>
        <v>9.9355420547654269E-4</v>
      </c>
      <c r="J48" s="11">
        <v>12000</v>
      </c>
      <c r="K48" s="64">
        <f t="shared" si="6"/>
        <v>9.2855533222106778E-4</v>
      </c>
      <c r="L48" s="11">
        <v>12000</v>
      </c>
      <c r="M48" s="64">
        <f t="shared" si="7"/>
        <v>8.6780872170193256E-4</v>
      </c>
    </row>
    <row r="49" spans="1:13" x14ac:dyDescent="0.15">
      <c r="A49" s="3" t="str">
        <f>'Monthly Summary'!A49</f>
        <v>Uniforms</v>
      </c>
      <c r="B49" s="16"/>
      <c r="C49" s="33">
        <f>SUM(C18:C48)</f>
        <v>30826.512234166668</v>
      </c>
      <c r="D49" s="10">
        <f>'Monthly Summary'!AA49</f>
        <v>12750.014391334771</v>
      </c>
      <c r="E49" s="80">
        <f>'Monthly Summary'!AB49</f>
        <v>1.2989803118121073E-3</v>
      </c>
      <c r="F49" s="11">
        <v>15000</v>
      </c>
      <c r="G49" s="64">
        <f t="shared" si="4"/>
        <v>1.3288778218322015E-3</v>
      </c>
      <c r="H49" s="11">
        <v>15000</v>
      </c>
      <c r="I49" s="64">
        <f t="shared" si="5"/>
        <v>1.2419427568456781E-3</v>
      </c>
      <c r="J49" s="11">
        <v>15000</v>
      </c>
      <c r="K49" s="64">
        <f t="shared" si="6"/>
        <v>1.1606941652763348E-3</v>
      </c>
      <c r="L49" s="11">
        <v>15000</v>
      </c>
      <c r="M49" s="64">
        <f t="shared" si="7"/>
        <v>1.0847609021274157E-3</v>
      </c>
    </row>
    <row r="50" spans="1:13" x14ac:dyDescent="0.15">
      <c r="A50" s="3" t="str">
        <f>'Monthly Summary'!A50</f>
        <v>Kitchen Supplies</v>
      </c>
      <c r="C50" s="38"/>
      <c r="D50" s="10">
        <f>'Monthly Summary'!AA50</f>
        <v>24000.027071830449</v>
      </c>
      <c r="E50" s="80">
        <f>'Monthly Summary'!AB50</f>
        <v>2.4451394086623954E-3</v>
      </c>
      <c r="F50" s="11">
        <v>24000</v>
      </c>
      <c r="G50" s="64">
        <f t="shared" si="4"/>
        <v>2.1262045149315224E-3</v>
      </c>
      <c r="H50" s="11">
        <v>24000</v>
      </c>
      <c r="I50" s="64">
        <f t="shared" si="5"/>
        <v>1.9871084109530854E-3</v>
      </c>
      <c r="J50" s="11">
        <v>24000</v>
      </c>
      <c r="K50" s="64">
        <f t="shared" si="6"/>
        <v>1.8571106644421356E-3</v>
      </c>
      <c r="L50" s="11">
        <v>24000</v>
      </c>
      <c r="M50" s="64">
        <f t="shared" si="7"/>
        <v>1.7356174434038651E-3</v>
      </c>
    </row>
    <row r="51" spans="1:13" ht="14" thickBot="1" x14ac:dyDescent="0.2">
      <c r="A51" s="3" t="str">
        <f>'Monthly Summary'!A51</f>
        <v>Flowers / Décor</v>
      </c>
      <c r="C51" s="41">
        <f>+C10-C15-C49</f>
        <v>-32326.512234166668</v>
      </c>
      <c r="D51" s="10">
        <f>'Monthly Summary'!AA51</f>
        <v>12000.013535915225</v>
      </c>
      <c r="E51" s="80">
        <f>'Monthly Summary'!AB51</f>
        <v>1.2225697043311977E-3</v>
      </c>
      <c r="F51" s="11">
        <v>12000</v>
      </c>
      <c r="G51" s="64">
        <f t="shared" si="4"/>
        <v>1.0631022574657612E-3</v>
      </c>
      <c r="H51" s="11">
        <v>12000</v>
      </c>
      <c r="I51" s="64">
        <f t="shared" si="5"/>
        <v>9.9355420547654269E-4</v>
      </c>
      <c r="J51" s="11">
        <v>12000</v>
      </c>
      <c r="K51" s="64">
        <f t="shared" si="6"/>
        <v>9.2855533222106778E-4</v>
      </c>
      <c r="L51" s="11">
        <v>12000</v>
      </c>
      <c r="M51" s="64">
        <f t="shared" si="7"/>
        <v>8.6780872170193256E-4</v>
      </c>
    </row>
    <row r="52" spans="1:13" ht="14" thickTop="1" x14ac:dyDescent="0.15">
      <c r="A52" s="3" t="str">
        <f>'Monthly Summary'!A52</f>
        <v>Janitorial Services</v>
      </c>
      <c r="D52" s="10">
        <f>'Monthly Summary'!AA52</f>
        <v>24000.027071830449</v>
      </c>
      <c r="E52" s="80">
        <f>'Monthly Summary'!AB52</f>
        <v>2.4451394086623954E-3</v>
      </c>
      <c r="F52" s="11">
        <v>24000</v>
      </c>
      <c r="G52" s="64">
        <f t="shared" si="4"/>
        <v>2.1262045149315224E-3</v>
      </c>
      <c r="H52" s="11">
        <v>24000</v>
      </c>
      <c r="I52" s="64">
        <f t="shared" si="5"/>
        <v>1.9871084109530854E-3</v>
      </c>
      <c r="J52" s="11">
        <v>24000</v>
      </c>
      <c r="K52" s="64">
        <f t="shared" si="6"/>
        <v>1.8571106644421356E-3</v>
      </c>
      <c r="L52" s="11">
        <v>24000</v>
      </c>
      <c r="M52" s="64">
        <f t="shared" si="7"/>
        <v>1.7356174434038651E-3</v>
      </c>
    </row>
    <row r="53" spans="1:13" x14ac:dyDescent="0.15">
      <c r="A53" s="3" t="str">
        <f>'Monthly Summary'!A53</f>
        <v>Repair and Maintenance</v>
      </c>
      <c r="D53" s="10">
        <f>'Monthly Summary'!AA53</f>
        <v>18000.020303872836</v>
      </c>
      <c r="E53" s="80">
        <f>'Monthly Summary'!AB53</f>
        <v>1.8338545564967963E-3</v>
      </c>
      <c r="F53" s="11">
        <v>23000</v>
      </c>
      <c r="G53" s="64">
        <f t="shared" si="4"/>
        <v>2.037612660142709E-3</v>
      </c>
      <c r="H53" s="11">
        <v>23000</v>
      </c>
      <c r="I53" s="64">
        <f t="shared" si="5"/>
        <v>1.9043122271633732E-3</v>
      </c>
      <c r="J53" s="11">
        <v>23000</v>
      </c>
      <c r="K53" s="64">
        <f t="shared" si="6"/>
        <v>1.7797310534237133E-3</v>
      </c>
      <c r="L53" s="11">
        <v>23000</v>
      </c>
      <c r="M53" s="64">
        <f t="shared" si="7"/>
        <v>1.6633000499287041E-3</v>
      </c>
    </row>
    <row r="54" spans="1:13" x14ac:dyDescent="0.15">
      <c r="A54" s="3"/>
      <c r="D54" s="10">
        <f>'Monthly Summary'!AA54</f>
        <v>424327.84507126082</v>
      </c>
      <c r="E54" s="80">
        <f>'Monthly Summary'!AB54</f>
        <v>4.3230815243301281E-2</v>
      </c>
      <c r="F54" s="11">
        <f>SUM(F44:F53)</f>
        <v>494406.85058878362</v>
      </c>
      <c r="G54" s="64">
        <f t="shared" si="4"/>
        <v>4.3800419913956098E-2</v>
      </c>
      <c r="H54" s="11">
        <f>SUM(H44:H53)</f>
        <v>517955.33012999845</v>
      </c>
      <c r="I54" s="64">
        <f t="shared" si="5"/>
        <v>4.2884724708304241E-2</v>
      </c>
      <c r="J54" s="11">
        <f>SUM(J44:J53)</f>
        <v>543152.20323909831</v>
      </c>
      <c r="K54" s="64">
        <f t="shared" si="6"/>
        <v>4.2028906210440489E-2</v>
      </c>
      <c r="L54" s="11">
        <f>SUM(L44:L53)</f>
        <v>570112.85746583529</v>
      </c>
      <c r="M54" s="64">
        <f t="shared" si="7"/>
        <v>4.1229075838605217E-2</v>
      </c>
    </row>
    <row r="55" spans="1:13" x14ac:dyDescent="0.15">
      <c r="A55" s="74" t="str">
        <f>'Monthly Summary'!A55</f>
        <v>Non-Controllable Expenses:</v>
      </c>
      <c r="D55" s="10"/>
      <c r="E55" s="80"/>
      <c r="F55" s="11"/>
      <c r="G55" s="64"/>
      <c r="H55" s="11"/>
      <c r="I55" s="64"/>
      <c r="J55" s="11"/>
      <c r="K55" s="64"/>
      <c r="L55" s="11"/>
      <c r="M55" s="64"/>
    </row>
    <row r="56" spans="1:13" x14ac:dyDescent="0.15">
      <c r="A56" s="3" t="str">
        <f>'Monthly Summary'!A56</f>
        <v>Rent Expense</v>
      </c>
      <c r="D56" s="10">
        <f>'Monthly Summary'!AA56</f>
        <v>360000.40607745672</v>
      </c>
      <c r="E56" s="80">
        <f>'Monthly Summary'!AB56</f>
        <v>3.6677091129935925E-2</v>
      </c>
      <c r="F56" s="11">
        <f>(D56*0.05)+D56</f>
        <v>378000.42638132954</v>
      </c>
      <c r="G56" s="64">
        <f t="shared" ref="G56:G65" si="8">F56/F$19</f>
        <v>3.3487758884084312E-2</v>
      </c>
      <c r="H56" s="11">
        <f>(F56*0.05)+F56</f>
        <v>396900.44770039601</v>
      </c>
      <c r="I56" s="64">
        <f t="shared" ref="I56:I65" si="9">H56/H$19</f>
        <v>3.2861842414020917E-2</v>
      </c>
      <c r="J56" s="11">
        <f>(H56*0.05)+H56</f>
        <v>416745.47008541581</v>
      </c>
      <c r="K56" s="64">
        <f t="shared" ref="K56:K65" si="10">J56/J$19</f>
        <v>3.224760236889903E-2</v>
      </c>
      <c r="L56" s="11">
        <f>(J56*0.05)+J56</f>
        <v>437582.74358968658</v>
      </c>
      <c r="M56" s="64">
        <f t="shared" ref="M56:M65" si="11">L56/L$19</f>
        <v>3.1644843446115872E-2</v>
      </c>
    </row>
    <row r="57" spans="1:13" x14ac:dyDescent="0.15">
      <c r="A57" s="3" t="str">
        <f>'Monthly Summary'!A57</f>
        <v>Telephone Expense</v>
      </c>
      <c r="D57" s="10">
        <f>'Monthly Summary'!AA57</f>
        <v>6000.0067679576123</v>
      </c>
      <c r="E57" s="80">
        <f>'Monthly Summary'!AB57</f>
        <v>6.1128485216559885E-4</v>
      </c>
      <c r="F57" s="11">
        <v>6000</v>
      </c>
      <c r="G57" s="64">
        <f t="shared" si="8"/>
        <v>5.3155112873288059E-4</v>
      </c>
      <c r="H57" s="11">
        <v>6000</v>
      </c>
      <c r="I57" s="64">
        <f t="shared" si="9"/>
        <v>4.9677710273827135E-4</v>
      </c>
      <c r="J57" s="11">
        <v>6000</v>
      </c>
      <c r="K57" s="64">
        <f t="shared" si="10"/>
        <v>4.6427766611053389E-4</v>
      </c>
      <c r="L57" s="11">
        <v>6000</v>
      </c>
      <c r="M57" s="64">
        <f t="shared" si="11"/>
        <v>4.3390436085096628E-4</v>
      </c>
    </row>
    <row r="58" spans="1:13" x14ac:dyDescent="0.15">
      <c r="A58" s="3" t="str">
        <f>'Monthly Summary'!A58</f>
        <v>Utilities</v>
      </c>
      <c r="D58" s="10">
        <f>'Monthly Summary'!AA58</f>
        <v>35003.706150534534</v>
      </c>
      <c r="E58" s="80">
        <f>'Monthly Summary'!AB58</f>
        <v>3.5662018672624148E-3</v>
      </c>
      <c r="F58" s="11">
        <f>(D58*0.05)+D58</f>
        <v>36753.891458061262</v>
      </c>
      <c r="G58" s="64">
        <f t="shared" si="8"/>
        <v>3.2560954149763737E-3</v>
      </c>
      <c r="H58" s="11">
        <f>(F58*0.05)+F58</f>
        <v>38591.586030964325</v>
      </c>
      <c r="I58" s="64">
        <f t="shared" si="9"/>
        <v>3.1952360497561998E-3</v>
      </c>
      <c r="J58" s="11">
        <f>(H58*0.05)+H58</f>
        <v>40521.165332512544</v>
      </c>
      <c r="K58" s="64">
        <f t="shared" si="10"/>
        <v>3.1355120114430002E-3</v>
      </c>
      <c r="L58" s="11">
        <f>(J58*0.05)+J58</f>
        <v>42547.223599138175</v>
      </c>
      <c r="M58" s="64">
        <f t="shared" si="11"/>
        <v>3.0769043102945332E-3</v>
      </c>
    </row>
    <row r="59" spans="1:13" x14ac:dyDescent="0.15">
      <c r="A59" s="3" t="str">
        <f>'Monthly Summary'!A59</f>
        <v>Security Systems</v>
      </c>
      <c r="D59" s="10">
        <f>'Monthly Summary'!AA59</f>
        <v>24000.027071830449</v>
      </c>
      <c r="E59" s="80">
        <f>'Monthly Summary'!AB59</f>
        <v>2.4451394086623954E-3</v>
      </c>
      <c r="F59" s="11">
        <v>24000</v>
      </c>
      <c r="G59" s="64">
        <f t="shared" si="8"/>
        <v>2.1262045149315224E-3</v>
      </c>
      <c r="H59" s="11">
        <v>24000</v>
      </c>
      <c r="I59" s="64">
        <f t="shared" si="9"/>
        <v>1.9871084109530854E-3</v>
      </c>
      <c r="J59" s="11">
        <v>24000</v>
      </c>
      <c r="K59" s="64">
        <f t="shared" si="10"/>
        <v>1.8571106644421356E-3</v>
      </c>
      <c r="L59" s="11">
        <v>24000</v>
      </c>
      <c r="M59" s="64">
        <f t="shared" si="11"/>
        <v>1.7356174434038651E-3</v>
      </c>
    </row>
    <row r="60" spans="1:13" x14ac:dyDescent="0.15">
      <c r="A60" s="3" t="str">
        <f>'Monthly Summary'!A60</f>
        <v>Property Tax</v>
      </c>
      <c r="D60" s="10">
        <f>'Monthly Summary'!AA60</f>
        <v>15600.01759668979</v>
      </c>
      <c r="E60" s="80">
        <f>'Monthly Summary'!AB60</f>
        <v>1.5893406156305566E-3</v>
      </c>
      <c r="F60" s="11">
        <v>15600</v>
      </c>
      <c r="G60" s="64">
        <f t="shared" si="8"/>
        <v>1.3820329347054895E-3</v>
      </c>
      <c r="H60" s="11">
        <v>15600</v>
      </c>
      <c r="I60" s="64">
        <f t="shared" si="9"/>
        <v>1.2916204671195055E-3</v>
      </c>
      <c r="J60" s="11">
        <v>15600</v>
      </c>
      <c r="K60" s="64">
        <f t="shared" si="10"/>
        <v>1.2071219318873882E-3</v>
      </c>
      <c r="L60" s="11">
        <v>15600</v>
      </c>
      <c r="M60" s="64">
        <f t="shared" si="11"/>
        <v>1.1281513382125122E-3</v>
      </c>
    </row>
    <row r="61" spans="1:13" x14ac:dyDescent="0.15">
      <c r="A61" s="3" t="str">
        <f>'Monthly Summary'!A61</f>
        <v>General Liability Insurance</v>
      </c>
      <c r="D61" s="10">
        <f>'Monthly Summary'!AA61</f>
        <v>14400.016243098267</v>
      </c>
      <c r="E61" s="80">
        <f>'Monthly Summary'!AB61</f>
        <v>1.467083645197437E-3</v>
      </c>
      <c r="F61" s="11">
        <v>30000</v>
      </c>
      <c r="G61" s="64">
        <f t="shared" si="8"/>
        <v>2.657755643664403E-3</v>
      </c>
      <c r="H61" s="11">
        <v>30000</v>
      </c>
      <c r="I61" s="64">
        <f t="shared" si="9"/>
        <v>2.4838855136913563E-3</v>
      </c>
      <c r="J61" s="11">
        <v>30000</v>
      </c>
      <c r="K61" s="64">
        <f t="shared" si="10"/>
        <v>2.3213883305526696E-3</v>
      </c>
      <c r="L61" s="11">
        <v>30000</v>
      </c>
      <c r="M61" s="64">
        <f t="shared" si="11"/>
        <v>2.1695218042548313E-3</v>
      </c>
    </row>
    <row r="62" spans="1:13" x14ac:dyDescent="0.15">
      <c r="A62" s="3" t="str">
        <f>'Monthly Summary'!A62</f>
        <v>Computer and Internet Expenses</v>
      </c>
      <c r="D62" s="10">
        <f>'Monthly Summary'!AA62</f>
        <v>6000.0067679576123</v>
      </c>
      <c r="E62" s="80">
        <f>'Monthly Summary'!AB62</f>
        <v>6.1128485216559885E-4</v>
      </c>
      <c r="F62" s="11">
        <v>6000</v>
      </c>
      <c r="G62" s="64">
        <f t="shared" si="8"/>
        <v>5.3155112873288059E-4</v>
      </c>
      <c r="H62" s="11">
        <v>6000</v>
      </c>
      <c r="I62" s="64">
        <f t="shared" si="9"/>
        <v>4.9677710273827135E-4</v>
      </c>
      <c r="J62" s="11">
        <v>6000</v>
      </c>
      <c r="K62" s="64">
        <f t="shared" si="10"/>
        <v>4.6427766611053389E-4</v>
      </c>
      <c r="L62" s="11">
        <v>6000</v>
      </c>
      <c r="M62" s="64">
        <f t="shared" si="11"/>
        <v>4.3390436085096628E-4</v>
      </c>
    </row>
    <row r="63" spans="1:13" x14ac:dyDescent="0.15">
      <c r="A63" s="3" t="str">
        <f>'Monthly Summary'!A63</f>
        <v>Landscaping</v>
      </c>
      <c r="D63" s="10">
        <f>'Monthly Summary'!AA63</f>
        <v>1920.002165746436</v>
      </c>
      <c r="E63" s="80">
        <f>'Monthly Summary'!AB63</f>
        <v>1.9561115269299163E-4</v>
      </c>
      <c r="F63" s="11">
        <v>1920</v>
      </c>
      <c r="G63" s="64">
        <f t="shared" si="8"/>
        <v>1.7009636119452178E-4</v>
      </c>
      <c r="H63" s="11">
        <v>1920</v>
      </c>
      <c r="I63" s="64">
        <f t="shared" si="9"/>
        <v>1.5896867287624683E-4</v>
      </c>
      <c r="J63" s="11">
        <v>1920</v>
      </c>
      <c r="K63" s="64">
        <f t="shared" si="10"/>
        <v>1.4856885315537086E-4</v>
      </c>
      <c r="L63" s="11">
        <v>1920</v>
      </c>
      <c r="M63" s="64">
        <f t="shared" si="11"/>
        <v>1.388493954723092E-4</v>
      </c>
    </row>
    <row r="64" spans="1:13" x14ac:dyDescent="0.15">
      <c r="A64" s="3" t="str">
        <f>'Monthly Summary'!A64</f>
        <v>Valet Parking</v>
      </c>
      <c r="D64" s="10">
        <f>'Monthly Summary'!AA64</f>
        <v>30000.033839788059</v>
      </c>
      <c r="E64" s="80">
        <f>'Monthly Summary'!AB64</f>
        <v>3.0564242608279936E-3</v>
      </c>
      <c r="F64" s="11">
        <v>30000</v>
      </c>
      <c r="G64" s="64">
        <f t="shared" si="8"/>
        <v>2.657755643664403E-3</v>
      </c>
      <c r="H64" s="11">
        <v>30000</v>
      </c>
      <c r="I64" s="64">
        <f t="shared" si="9"/>
        <v>2.4838855136913563E-3</v>
      </c>
      <c r="J64" s="11">
        <v>30000</v>
      </c>
      <c r="K64" s="64">
        <f t="shared" si="10"/>
        <v>2.3213883305526696E-3</v>
      </c>
      <c r="L64" s="11">
        <v>30000</v>
      </c>
      <c r="M64" s="64">
        <f t="shared" si="11"/>
        <v>2.1695218042548313E-3</v>
      </c>
    </row>
    <row r="65" spans="1:13" x14ac:dyDescent="0.15">
      <c r="A65" s="13" t="str">
        <f>'Monthly Summary'!A65</f>
        <v>Total Non-Controllable Expenses</v>
      </c>
      <c r="D65" s="10">
        <f>'Monthly Summary'!AA65</f>
        <v>492924.22268105939</v>
      </c>
      <c r="E65" s="80">
        <f>'Monthly Summary'!AB65</f>
        <v>5.0219461784540904E-2</v>
      </c>
      <c r="F65" s="11">
        <f>SUM(F56:F64)</f>
        <v>528274.31783939083</v>
      </c>
      <c r="G65" s="64">
        <f t="shared" si="8"/>
        <v>4.6800801654686787E-2</v>
      </c>
      <c r="H65" s="11">
        <f>SUM(H56:H64)</f>
        <v>549012.03373136034</v>
      </c>
      <c r="I65" s="64">
        <f t="shared" si="9"/>
        <v>4.5456101247585208E-2</v>
      </c>
      <c r="J65" s="11">
        <f>SUM(J56:J64)</f>
        <v>570786.63541792834</v>
      </c>
      <c r="K65" s="64">
        <f t="shared" si="10"/>
        <v>4.416724782315333E-2</v>
      </c>
      <c r="L65" s="11">
        <f>SUM(L56:L64)</f>
        <v>593649.96718882478</v>
      </c>
      <c r="M65" s="64">
        <f t="shared" si="11"/>
        <v>4.2931218263710685E-2</v>
      </c>
    </row>
    <row r="66" spans="1:13" x14ac:dyDescent="0.15">
      <c r="A66" s="13"/>
      <c r="D66" s="10"/>
      <c r="E66" s="80"/>
      <c r="F66" s="11"/>
      <c r="G66" s="64"/>
      <c r="H66" s="11"/>
      <c r="I66" s="64"/>
      <c r="J66" s="11"/>
      <c r="K66" s="64"/>
      <c r="L66" s="11"/>
      <c r="M66" s="64"/>
    </row>
    <row r="67" spans="1:13" x14ac:dyDescent="0.15">
      <c r="A67" s="3" t="str">
        <f>'Monthly Summary'!A67</f>
        <v>Management Fee</v>
      </c>
      <c r="D67" s="10">
        <f>'Monthly Summary'!AA67</f>
        <v>0</v>
      </c>
      <c r="E67" s="80">
        <f>'Monthly Summary'!AB67</f>
        <v>0</v>
      </c>
      <c r="F67" s="11">
        <v>0</v>
      </c>
      <c r="G67" s="64">
        <f>F67/F$19</f>
        <v>0</v>
      </c>
      <c r="H67" s="11">
        <v>0</v>
      </c>
      <c r="I67" s="64">
        <f>H67/H$19</f>
        <v>0</v>
      </c>
      <c r="J67" s="11">
        <v>0</v>
      </c>
      <c r="K67" s="64">
        <f>J67/J$19</f>
        <v>0</v>
      </c>
      <c r="L67" s="11">
        <v>0</v>
      </c>
      <c r="M67" s="64">
        <f>L67/L$19</f>
        <v>0</v>
      </c>
    </row>
    <row r="68" spans="1:13" x14ac:dyDescent="0.15">
      <c r="A68" s="118" t="str">
        <f>'Monthly Summary'!A68</f>
        <v>Total Expenses</v>
      </c>
      <c r="B68" s="119"/>
      <c r="C68" s="119"/>
      <c r="D68" s="98">
        <f>'Monthly Summary'!AA68</f>
        <v>6047297.3879891839</v>
      </c>
      <c r="E68" s="99">
        <f>'Monthly Summary'!AB68</f>
        <v>0.61610285334339732</v>
      </c>
      <c r="F68" s="100">
        <f>F65+F54+F42+F31</f>
        <v>6894467.8909273278</v>
      </c>
      <c r="G68" s="101">
        <f>F68/F$19</f>
        <v>0.61079369823917062</v>
      </c>
      <c r="H68" s="100">
        <f>H65+H54+H42+H31</f>
        <v>7327162.1569354525</v>
      </c>
      <c r="I68" s="101">
        <f>H68/H$19</f>
        <v>0.60666106460264946</v>
      </c>
      <c r="J68" s="100">
        <f>J65+J54+J42+J31</f>
        <v>7789730.2672463059</v>
      </c>
      <c r="K68" s="101">
        <f>J68/J$19</f>
        <v>0.60276629801795012</v>
      </c>
      <c r="L68" s="100">
        <f>L65+L54+L42+L31</f>
        <v>8284242.6532451911</v>
      </c>
      <c r="M68" s="101">
        <f>L68/L$19</f>
        <v>0.59909483559844456</v>
      </c>
    </row>
    <row r="69" spans="1:13" x14ac:dyDescent="0.15">
      <c r="D69" s="120" t="s">
        <v>119</v>
      </c>
      <c r="E69" s="121"/>
      <c r="F69" s="122" t="s">
        <v>2</v>
      </c>
      <c r="G69" s="123"/>
      <c r="H69" s="122" t="s">
        <v>3</v>
      </c>
      <c r="I69" s="123"/>
      <c r="J69" s="122" t="s">
        <v>160</v>
      </c>
      <c r="K69" s="123"/>
      <c r="L69" s="122" t="s">
        <v>161</v>
      </c>
      <c r="M69" s="64"/>
    </row>
    <row r="70" spans="1:13" s="102" customFormat="1" x14ac:dyDescent="0.15">
      <c r="A70" s="102" t="str">
        <f>'Monthly Summary'!A70</f>
        <v>EBIDTA</v>
      </c>
      <c r="D70" s="103">
        <f>'Monthly Summary'!AA70</f>
        <v>1667718.5987012354</v>
      </c>
      <c r="E70" s="104">
        <f>'Monthly Summary'!AB70</f>
        <v>0.16990832785475724</v>
      </c>
      <c r="F70" s="105">
        <f>F19-F24-F68</f>
        <v>1977807.2262923811</v>
      </c>
      <c r="G70" s="106">
        <f>F70/F$19</f>
        <v>0.1752176105919605</v>
      </c>
      <c r="H70" s="105">
        <f>H19-H24-H68</f>
        <v>2166163.7841871073</v>
      </c>
      <c r="I70" s="106">
        <f>H70/H$19</f>
        <v>0.17935009479417352</v>
      </c>
      <c r="J70" s="105">
        <f>J19-J24-J68</f>
        <v>2368128.4897548333</v>
      </c>
      <c r="K70" s="106">
        <f>J70/J$19</f>
        <v>0.18324486137887291</v>
      </c>
      <c r="L70" s="105">
        <f>L19-L24-L68</f>
        <v>2584666.2167460294</v>
      </c>
      <c r="M70" s="106">
        <f>L70/L$19</f>
        <v>0.1869163237983785</v>
      </c>
    </row>
  </sheetData>
  <printOptions horizontalCentered="1"/>
  <pageMargins left="1.22" right="0.75" top="1" bottom="1" header="0.5" footer="0.5"/>
  <pageSetup scale="8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Monthly Summary</vt:lpstr>
      <vt:lpstr>Annual Summary</vt:lpstr>
      <vt:lpstr>Sales and Assumptions</vt:lpstr>
      <vt:lpstr>Sources</vt:lpstr>
      <vt:lpstr>Sources copy</vt:lpstr>
      <vt:lpstr>Sales and Assumptions copy</vt:lpstr>
      <vt:lpstr>Monthly Summary copy</vt:lpstr>
      <vt:lpstr>Annual Summary copy</vt:lpstr>
      <vt:lpstr>'Annual Summary'!Print_Area</vt:lpstr>
      <vt:lpstr>'Annual Summary copy'!Print_Area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CONTROLLER</dc:creator>
  <cp:lastModifiedBy>Microsoft Office User</cp:lastModifiedBy>
  <cp:lastPrinted>2015-03-17T15:29:46Z</cp:lastPrinted>
  <dcterms:created xsi:type="dcterms:W3CDTF">2015-03-13T19:04:09Z</dcterms:created>
  <dcterms:modified xsi:type="dcterms:W3CDTF">2021-07-19T21:18:01Z</dcterms:modified>
</cp:coreProperties>
</file>